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7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530" activeTab="4"/>
  </bookViews>
  <sheets>
    <sheet name="Info" sheetId="1" r:id="rId1"/>
    <sheet name="ARM" sheetId="3" r:id="rId2"/>
    <sheet name="Recaptured Depreciation" sheetId="5" r:id="rId3"/>
    <sheet name="Cashflow" sheetId="7" r:id="rId4"/>
    <sheet name="Proforma and DCF" sheetId="6" r:id="rId5"/>
  </sheets>
  <externalReferences>
    <externalReference r:id="rId6"/>
  </externalReferences>
  <calcPr calcId="162913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0" i="6" l="1"/>
  <c r="B38" i="6"/>
  <c r="B39" i="6"/>
  <c r="C36" i="6"/>
  <c r="C39" i="6"/>
  <c r="B3" i="6"/>
  <c r="B5" i="6"/>
  <c r="B6" i="6"/>
  <c r="B7" i="6"/>
  <c r="B8" i="6"/>
  <c r="D17" i="3"/>
  <c r="H4" i="3"/>
  <c r="B17" i="3"/>
  <c r="C17" i="3"/>
  <c r="B9" i="6"/>
  <c r="B10" i="6"/>
  <c r="B15" i="6"/>
  <c r="B16" i="6"/>
  <c r="E17" i="3"/>
  <c r="B17" i="6"/>
  <c r="B18" i="6"/>
  <c r="B19" i="6"/>
  <c r="B11" i="6"/>
  <c r="B12" i="6"/>
  <c r="D36" i="6"/>
  <c r="D39" i="6"/>
  <c r="C3" i="6"/>
  <c r="C4" i="6"/>
  <c r="C5" i="6"/>
  <c r="C6" i="6"/>
  <c r="C7" i="6"/>
  <c r="C8" i="6"/>
  <c r="J18" i="3"/>
  <c r="D18" i="3"/>
  <c r="G17" i="3"/>
  <c r="H17" i="3"/>
  <c r="B18" i="3"/>
  <c r="C18" i="3"/>
  <c r="C9" i="6"/>
  <c r="C10" i="6"/>
  <c r="C15" i="6"/>
  <c r="C16" i="6"/>
  <c r="E18" i="3"/>
  <c r="C17" i="6"/>
  <c r="C18" i="6"/>
  <c r="C19" i="6"/>
  <c r="C11" i="6"/>
  <c r="C12" i="6"/>
  <c r="E36" i="6"/>
  <c r="E39" i="6"/>
  <c r="D3" i="6"/>
  <c r="D4" i="6"/>
  <c r="D5" i="6"/>
  <c r="D6" i="6"/>
  <c r="D8" i="6"/>
  <c r="J19" i="3"/>
  <c r="D19" i="3"/>
  <c r="G18" i="3"/>
  <c r="H18" i="3"/>
  <c r="B19" i="3"/>
  <c r="C19" i="3"/>
  <c r="D9" i="6"/>
  <c r="D10" i="6"/>
  <c r="D15" i="6"/>
  <c r="D16" i="6"/>
  <c r="E19" i="3"/>
  <c r="D17" i="6"/>
  <c r="D18" i="6"/>
  <c r="D19" i="6"/>
  <c r="D11" i="6"/>
  <c r="D12" i="6"/>
  <c r="F36" i="6"/>
  <c r="F39" i="6"/>
  <c r="E3" i="6"/>
  <c r="E4" i="6"/>
  <c r="E5" i="6"/>
  <c r="E6" i="6"/>
  <c r="E8" i="6"/>
  <c r="J20" i="3"/>
  <c r="D20" i="3"/>
  <c r="G19" i="3"/>
  <c r="H19" i="3"/>
  <c r="B20" i="3"/>
  <c r="C20" i="3"/>
  <c r="E9" i="6"/>
  <c r="E10" i="6"/>
  <c r="E15" i="6"/>
  <c r="E16" i="6"/>
  <c r="E20" i="3"/>
  <c r="E17" i="6"/>
  <c r="E18" i="6"/>
  <c r="E19" i="6"/>
  <c r="E11" i="6"/>
  <c r="E12" i="6"/>
  <c r="G36" i="6"/>
  <c r="F3" i="6"/>
  <c r="F4" i="6"/>
  <c r="F5" i="6"/>
  <c r="F6" i="6"/>
  <c r="F8" i="6"/>
  <c r="B23" i="6"/>
  <c r="B24" i="6"/>
  <c r="B25" i="6"/>
  <c r="J21" i="3"/>
  <c r="D21" i="3"/>
  <c r="G20" i="3"/>
  <c r="H20" i="3"/>
  <c r="B21" i="3"/>
  <c r="C21" i="3"/>
  <c r="G21" i="3"/>
  <c r="H21" i="3"/>
  <c r="B26" i="6"/>
  <c r="B27" i="6"/>
  <c r="D23" i="6"/>
  <c r="B31" i="6"/>
  <c r="B28" i="6"/>
  <c r="B29" i="6"/>
  <c r="G37" i="6"/>
  <c r="G39" i="6"/>
  <c r="I39" i="6"/>
  <c r="H39" i="6"/>
  <c r="B76" i="7"/>
  <c r="B77" i="7"/>
  <c r="C76" i="7"/>
  <c r="C77" i="7"/>
  <c r="D76" i="7"/>
  <c r="D77" i="7"/>
  <c r="E77" i="7"/>
  <c r="E81" i="7"/>
  <c r="E75" i="7"/>
  <c r="E80" i="7"/>
  <c r="E82" i="7"/>
  <c r="E83" i="7"/>
  <c r="E85" i="7"/>
  <c r="E65" i="7"/>
  <c r="E48" i="7"/>
  <c r="E30" i="7"/>
  <c r="E13" i="7"/>
  <c r="E6" i="7"/>
  <c r="E11" i="7"/>
  <c r="B12" i="7"/>
  <c r="E12" i="7"/>
  <c r="E14" i="7"/>
  <c r="B8" i="7"/>
  <c r="C8" i="7"/>
  <c r="D8" i="7"/>
  <c r="E8" i="7"/>
  <c r="E16" i="7"/>
  <c r="B93" i="7"/>
  <c r="B94" i="7"/>
  <c r="C93" i="7"/>
  <c r="C94" i="7"/>
  <c r="D93" i="7"/>
  <c r="D94" i="7"/>
  <c r="E94" i="7"/>
  <c r="E92" i="7"/>
  <c r="E97" i="7"/>
  <c r="E98" i="7"/>
  <c r="E99" i="7"/>
  <c r="E100" i="7"/>
  <c r="E102" i="7"/>
  <c r="D98" i="7"/>
  <c r="C98" i="7"/>
  <c r="B98" i="7"/>
  <c r="D97" i="7"/>
  <c r="C97" i="7"/>
  <c r="B97" i="7"/>
  <c r="E93" i="7"/>
  <c r="D81" i="7"/>
  <c r="C81" i="7"/>
  <c r="B81" i="7"/>
  <c r="D80" i="7"/>
  <c r="C80" i="7"/>
  <c r="B80" i="7"/>
  <c r="E76" i="7"/>
  <c r="B59" i="7"/>
  <c r="B60" i="7"/>
  <c r="C59" i="7"/>
  <c r="C60" i="7"/>
  <c r="D59" i="7"/>
  <c r="D60" i="7"/>
  <c r="E60" i="7"/>
  <c r="E58" i="7"/>
  <c r="E63" i="7"/>
  <c r="E64" i="7"/>
  <c r="E66" i="7"/>
  <c r="E68" i="7"/>
  <c r="D64" i="7"/>
  <c r="C64" i="7"/>
  <c r="B64" i="7"/>
  <c r="D63" i="7"/>
  <c r="C63" i="7"/>
  <c r="B63" i="7"/>
  <c r="E59" i="7"/>
  <c r="B41" i="7"/>
  <c r="B42" i="7"/>
  <c r="C41" i="7"/>
  <c r="C42" i="7"/>
  <c r="D41" i="7"/>
  <c r="D42" i="7"/>
  <c r="E42" i="7"/>
  <c r="E40" i="7"/>
  <c r="E45" i="7"/>
  <c r="E46" i="7"/>
  <c r="E47" i="7"/>
  <c r="E49" i="7"/>
  <c r="E51" i="7"/>
  <c r="D46" i="7"/>
  <c r="C46" i="7"/>
  <c r="B46" i="7"/>
  <c r="D45" i="7"/>
  <c r="C45" i="7"/>
  <c r="B45" i="7"/>
  <c r="E41" i="7"/>
  <c r="B25" i="7"/>
  <c r="C24" i="7"/>
  <c r="C25" i="7"/>
  <c r="D24" i="7"/>
  <c r="D25" i="7"/>
  <c r="E25" i="7"/>
  <c r="E23" i="7"/>
  <c r="E28" i="7"/>
  <c r="B29" i="7"/>
  <c r="E29" i="7"/>
  <c r="E31" i="7"/>
  <c r="E33" i="7"/>
  <c r="D28" i="7"/>
  <c r="C28" i="7"/>
  <c r="B28" i="7"/>
  <c r="E24" i="7"/>
  <c r="D11" i="7"/>
  <c r="C11" i="7"/>
  <c r="B11" i="7"/>
  <c r="E7" i="7"/>
  <c r="F15" i="6"/>
  <c r="B66" i="3"/>
  <c r="D66" i="3"/>
  <c r="C66" i="3"/>
  <c r="G66" i="3"/>
  <c r="E66" i="3"/>
  <c r="H66" i="3"/>
  <c r="I66" i="3"/>
  <c r="J66" i="3"/>
  <c r="B67" i="3"/>
  <c r="K67" i="3"/>
  <c r="L67" i="3"/>
  <c r="D67" i="3"/>
  <c r="C67" i="3"/>
  <c r="G67" i="3"/>
  <c r="E67" i="3"/>
  <c r="H67" i="3"/>
  <c r="I67" i="3"/>
  <c r="J67" i="3"/>
  <c r="B68" i="3"/>
  <c r="K68" i="3"/>
  <c r="L68" i="3"/>
  <c r="D68" i="3"/>
  <c r="E68" i="3"/>
  <c r="C68" i="3"/>
  <c r="G68" i="3"/>
  <c r="H68" i="3"/>
  <c r="I68" i="3"/>
  <c r="J68" i="3"/>
  <c r="B69" i="3"/>
  <c r="K69" i="3"/>
  <c r="L69" i="3"/>
  <c r="D69" i="3"/>
  <c r="E69" i="3"/>
  <c r="C69" i="3"/>
  <c r="G69" i="3"/>
  <c r="H69" i="3"/>
  <c r="I69" i="3"/>
  <c r="J69" i="3"/>
  <c r="B70" i="3"/>
  <c r="K70" i="3"/>
  <c r="L70" i="3"/>
  <c r="D70" i="3"/>
  <c r="E70" i="3"/>
  <c r="C70" i="3"/>
  <c r="G70" i="3"/>
  <c r="H70" i="3"/>
  <c r="I70" i="3"/>
  <c r="F67" i="3"/>
  <c r="F68" i="3"/>
  <c r="F69" i="3"/>
  <c r="B41" i="3"/>
  <c r="G41" i="3"/>
  <c r="H41" i="3"/>
  <c r="B42" i="3"/>
  <c r="G42" i="3"/>
  <c r="H42" i="3"/>
  <c r="B43" i="3"/>
  <c r="G43" i="3"/>
  <c r="H43" i="3"/>
  <c r="B44" i="3"/>
  <c r="C44" i="3"/>
  <c r="J44" i="3"/>
  <c r="D44" i="3"/>
  <c r="E44" i="3"/>
  <c r="F44" i="3"/>
  <c r="H44" i="3"/>
  <c r="B45" i="3"/>
  <c r="C45" i="3"/>
  <c r="J45" i="3"/>
  <c r="D45" i="3"/>
  <c r="E45" i="3"/>
  <c r="F45" i="3"/>
  <c r="H45" i="3"/>
  <c r="G44" i="3"/>
  <c r="N68" i="3"/>
  <c r="F66" i="3"/>
  <c r="F70" i="3"/>
  <c r="J70" i="3"/>
  <c r="D41" i="3"/>
  <c r="E42" i="3"/>
  <c r="E43" i="3"/>
  <c r="E41" i="3"/>
  <c r="J17" i="3"/>
  <c r="F17" i="3"/>
  <c r="J41" i="3"/>
  <c r="K41" i="3"/>
  <c r="J42" i="3"/>
  <c r="K42" i="3"/>
  <c r="J43" i="3"/>
  <c r="K43" i="3"/>
  <c r="K44" i="3"/>
  <c r="L66" i="3"/>
  <c r="D42" i="3"/>
  <c r="D43" i="3"/>
  <c r="K45" i="3"/>
  <c r="G45" i="3"/>
  <c r="E21" i="3"/>
  <c r="F21" i="3"/>
  <c r="F20" i="3"/>
  <c r="F19" i="3"/>
  <c r="F18" i="3"/>
  <c r="B9" i="1"/>
  <c r="B10" i="1"/>
  <c r="G3" i="5"/>
  <c r="C11" i="5"/>
  <c r="C12" i="5"/>
  <c r="G12" i="5"/>
  <c r="C2" i="5"/>
  <c r="C3" i="5"/>
  <c r="C4" i="5"/>
  <c r="B7" i="5"/>
  <c r="B8" i="5"/>
  <c r="D7" i="5"/>
  <c r="B9" i="5"/>
  <c r="D8" i="5"/>
  <c r="D9" i="5"/>
  <c r="B10" i="5"/>
  <c r="B11" i="5"/>
  <c r="B12" i="5"/>
  <c r="D10" i="5"/>
  <c r="D12" i="5"/>
  <c r="F12" i="5"/>
  <c r="E12" i="5"/>
  <c r="D11" i="5"/>
  <c r="B25" i="1"/>
</calcChain>
</file>

<file path=xl/sharedStrings.xml><?xml version="1.0" encoding="utf-8"?>
<sst xmlns="http://schemas.openxmlformats.org/spreadsheetml/2006/main" count="296" uniqueCount="157">
  <si>
    <t>Part 1 QUESTION</t>
  </si>
  <si>
    <t>Investment Asking Price</t>
  </si>
  <si>
    <t>Asking price per SF</t>
  </si>
  <si>
    <t>Purchasing cost</t>
  </si>
  <si>
    <t>Building Size SF</t>
  </si>
  <si>
    <t>Tenants</t>
  </si>
  <si>
    <t xml:space="preserve"> Price for Total SF</t>
  </si>
  <si>
    <t>Total Asking Price</t>
  </si>
  <si>
    <t>Investment Returns</t>
  </si>
  <si>
    <t>Tenant 1</t>
  </si>
  <si>
    <t>Currently renting SF</t>
  </si>
  <si>
    <t>Annual value per SF</t>
  </si>
  <si>
    <t>Lease expiry Yrs</t>
  </si>
  <si>
    <t>Tenant 2</t>
  </si>
  <si>
    <t>Annual increase</t>
  </si>
  <si>
    <t>Tenant 3</t>
  </si>
  <si>
    <t>Rental increase $ per SF</t>
  </si>
  <si>
    <t>Beginning of 2nd and 4th year</t>
  </si>
  <si>
    <t>Annual Investment Costs</t>
  </si>
  <si>
    <t>Operating Expense per SF</t>
  </si>
  <si>
    <t>per year</t>
  </si>
  <si>
    <t>Elevator Annual Capital Reserve Expense</t>
  </si>
  <si>
    <t>for a period of three years</t>
  </si>
  <si>
    <t>Notes</t>
  </si>
  <si>
    <t>V&amp;C after first lease expiry</t>
  </si>
  <si>
    <t>of the PGI</t>
  </si>
  <si>
    <t>Increase of V&amp;C after the expiry of the second lease</t>
  </si>
  <si>
    <t>Current annual market rate per SF</t>
  </si>
  <si>
    <t>Market rate of Rent decrease per year</t>
  </si>
  <si>
    <t>For the next 3 years</t>
  </si>
  <si>
    <t>Market rate of Rent increase per year</t>
  </si>
  <si>
    <t>For te next 4 years after depreciation</t>
  </si>
  <si>
    <t>Annual increase in Operation Cost</t>
  </si>
  <si>
    <t>With inflation</t>
  </si>
  <si>
    <t>Landlord cover operation cost</t>
  </si>
  <si>
    <t>of the remaining operating expenses</t>
  </si>
  <si>
    <t>Elevetor replacement cost</t>
  </si>
  <si>
    <t>in year 4</t>
  </si>
  <si>
    <t>Building Depreciation years</t>
  </si>
  <si>
    <t>Mid year convention for 1st and last year</t>
  </si>
  <si>
    <t>value of improvenemts</t>
  </si>
  <si>
    <t>of the purchasing price</t>
  </si>
  <si>
    <t>Loan to Value Ratio</t>
  </si>
  <si>
    <t>Going out cap rate</t>
  </si>
  <si>
    <t>Investor's return/Discount rate</t>
  </si>
  <si>
    <t>Selling costs</t>
  </si>
  <si>
    <t>of sales price</t>
  </si>
  <si>
    <t xml:space="preserve">Investor's period of holding the building </t>
  </si>
  <si>
    <t>Years</t>
  </si>
  <si>
    <t>Income tax</t>
  </si>
  <si>
    <t>Capital gains tax</t>
  </si>
  <si>
    <t>NB: tax depreciation recapture and pure capital gain</t>
  </si>
  <si>
    <t>ARM I</t>
  </si>
  <si>
    <t>ARM II</t>
  </si>
  <si>
    <t>ARM III</t>
  </si>
  <si>
    <t>Initial interest</t>
  </si>
  <si>
    <t>3/1 mortgage; initial interest is fixed for 3 years and only interest is paid. Amortization begins in year 4.</t>
  </si>
  <si>
    <t>Margin</t>
  </si>
  <si>
    <t>Caps</t>
  </si>
  <si>
    <t>None</t>
  </si>
  <si>
    <t>Periodic interest cap: 2% (no negative amortization)</t>
  </si>
  <si>
    <t>Periodic interest floor: 1.5%</t>
  </si>
  <si>
    <t>Periodic payment cap of 5% (no negative amortization)</t>
  </si>
  <si>
    <t>Prepayment penalty</t>
  </si>
  <si>
    <t>Discount Points</t>
  </si>
  <si>
    <t>ARM 1</t>
  </si>
  <si>
    <t>Year</t>
  </si>
  <si>
    <t>Interest</t>
  </si>
  <si>
    <t>Loan Balance</t>
  </si>
  <si>
    <t>ARM 2</t>
  </si>
  <si>
    <t>ARM 3</t>
  </si>
  <si>
    <t>Index</t>
  </si>
  <si>
    <t>Interest Rate A change index</t>
  </si>
  <si>
    <t>Purchase price</t>
  </si>
  <si>
    <t>Capital expense (CAPEX)</t>
  </si>
  <si>
    <t>Building value (65%)</t>
  </si>
  <si>
    <t>Annual depreciation</t>
  </si>
  <si>
    <t xml:space="preserve">Year </t>
  </si>
  <si>
    <t>Book value Building</t>
  </si>
  <si>
    <t>Book value CAPEX</t>
  </si>
  <si>
    <t>Book value total</t>
  </si>
  <si>
    <t>Recaptured depreciation total</t>
  </si>
  <si>
    <t>Recaptured depreciation building only</t>
  </si>
  <si>
    <t>Recaptured depreciation CAPEX</t>
  </si>
  <si>
    <t>year 4(end of year 3/beginning year 4)</t>
  </si>
  <si>
    <t>Mortgage Amount</t>
  </si>
  <si>
    <t>Current Real Rate</t>
  </si>
  <si>
    <t>Inflation index (year 2)</t>
  </si>
  <si>
    <t>Inflation index (year 3)</t>
  </si>
  <si>
    <t>Inflation index (year 4)</t>
  </si>
  <si>
    <t>Inflation index (year 5)</t>
  </si>
  <si>
    <t xml:space="preserve">Discount </t>
  </si>
  <si>
    <t>Amortization term</t>
  </si>
  <si>
    <t>Principle Balance</t>
  </si>
  <si>
    <t>Annual PMT</t>
  </si>
  <si>
    <t>Interest PMT</t>
  </si>
  <si>
    <t>Amortization</t>
  </si>
  <si>
    <t>FV</t>
  </si>
  <si>
    <t>Ending Balance</t>
  </si>
  <si>
    <t>Cap</t>
  </si>
  <si>
    <t>Principal Repayment</t>
  </si>
  <si>
    <t>Interest Rate</t>
  </si>
  <si>
    <t xml:space="preserve"> </t>
  </si>
  <si>
    <t>Effective interest rate?</t>
  </si>
  <si>
    <t>IRR</t>
  </si>
  <si>
    <t>Capped Payment</t>
  </si>
  <si>
    <t>Capped Principal Repayment</t>
  </si>
  <si>
    <t>NPV</t>
  </si>
  <si>
    <t>Operating Cash Flows</t>
  </si>
  <si>
    <t>PGI</t>
  </si>
  <si>
    <t>V&amp;C</t>
  </si>
  <si>
    <t>EGI</t>
  </si>
  <si>
    <t>OE</t>
  </si>
  <si>
    <t>CER</t>
  </si>
  <si>
    <t>-</t>
  </si>
  <si>
    <t>NOI</t>
  </si>
  <si>
    <t>DS</t>
  </si>
  <si>
    <t>BTCF</t>
  </si>
  <si>
    <t>Tax</t>
  </si>
  <si>
    <t>ATCF</t>
  </si>
  <si>
    <t>Tax liability</t>
  </si>
  <si>
    <t>Depreciation</t>
  </si>
  <si>
    <t>Taxable income</t>
  </si>
  <si>
    <t xml:space="preserve">Tax </t>
  </si>
  <si>
    <t>Equity reversion</t>
  </si>
  <si>
    <t>Capital Gains Tax</t>
  </si>
  <si>
    <t>Sales price</t>
  </si>
  <si>
    <t>NSP</t>
  </si>
  <si>
    <t>Mortgage balance</t>
  </si>
  <si>
    <t>BTER</t>
  </si>
  <si>
    <t>CGT</t>
  </si>
  <si>
    <t>ATER</t>
  </si>
  <si>
    <t>Purchasing Price</t>
  </si>
  <si>
    <t>CAPEX</t>
  </si>
  <si>
    <t>Investment Return Rate</t>
  </si>
  <si>
    <t>Discounted Cash Flow Analysis (DCF)</t>
  </si>
  <si>
    <t>Initial equity investment</t>
  </si>
  <si>
    <t>Total CF</t>
  </si>
  <si>
    <t>The investment has a high rate of IRR and is therefore worth undertaking.</t>
  </si>
  <si>
    <t>Yearly Cashflows</t>
  </si>
  <si>
    <t>Year 0</t>
  </si>
  <si>
    <t>TOTAL</t>
  </si>
  <si>
    <t>Income</t>
  </si>
  <si>
    <t xml:space="preserve">     Total rent per year</t>
  </si>
  <si>
    <t>Expense</t>
  </si>
  <si>
    <t>Operating expenses</t>
  </si>
  <si>
    <t>Elevator Capital Reserve (assume the cost is distributed evenly on all tenants)</t>
  </si>
  <si>
    <t>Annual Mortgage Loan Repayment</t>
  </si>
  <si>
    <t xml:space="preserve">     Total Expense</t>
  </si>
  <si>
    <t>Income before tax</t>
  </si>
  <si>
    <t>Year 1</t>
  </si>
  <si>
    <t>Year 2</t>
  </si>
  <si>
    <t>Vacancy and Collection Loss</t>
  </si>
  <si>
    <t xml:space="preserve">Elevator Capital Reserve </t>
  </si>
  <si>
    <t>Year 3</t>
  </si>
  <si>
    <t>Year 4</t>
  </si>
  <si>
    <t>Year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</si>
</sst>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  <numFmt numFmtId="166" formatCode="0.0%"/>
    <numFmt numFmtId="167" formatCode="#,##0.00\ _D_M"/>
    <numFmt numFmtId="168" formatCode="#,##0\ _D_M"/>
    <numFmt numFmtId="169" formatCode="_(* #,##0_);_(* \(#,##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Verdana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Verdana"/>
      <family val="2"/>
    </font>
    <font>
      <sz val="10"/>
      <color rgb="FFFF0000"/>
      <name val="Verdana"/>
      <family val="2"/>
    </font>
    <font>
      <sz val="11"/>
      <color rgb="FFA5A5A5"/>
      <name val="Calibri"/>
      <family val="2"/>
    </font>
    <font>
      <sz val="11"/>
      <color rgb="FF0000FF"/>
      <name val="Calibri"/>
      <family val="2"/>
    </font>
    <font>
      <b/>
      <sz val="11"/>
      <color rgb="FF0000FF"/>
      <name val="Calibri"/>
      <family val="2"/>
    </font>
    <font>
      <sz val="10"/>
      <color rgb="FF0000FF"/>
      <name val="Verdana"/>
      <family val="2"/>
    </font>
    <font>
      <b/>
      <sz val="11"/>
      <color rgb="FFFF0000"/>
      <name val="Calibri"/>
      <family val="2"/>
    </font>
    <font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8D08E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2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right"/>
    </xf>
    <xf numFmtId="9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/>
    <xf numFmtId="10" fontId="2" fillId="0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165" fontId="2" fillId="0" borderId="0" xfId="0" applyNumberFormat="1" applyFont="1" applyFill="1" applyAlignment="1">
      <alignment horizontal="right"/>
    </xf>
    <xf numFmtId="166" fontId="2" fillId="0" borderId="0" xfId="0" applyNumberFormat="1" applyFont="1" applyFill="1" applyAlignment="1">
      <alignment horizontal="right"/>
    </xf>
    <xf numFmtId="0" fontId="6" fillId="0" borderId="1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10" fontId="6" fillId="0" borderId="4" xfId="0" applyNumberFormat="1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9" fontId="6" fillId="0" borderId="4" xfId="0" applyNumberFormat="1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44" fontId="0" fillId="0" borderId="0" xfId="1" applyFont="1"/>
    <xf numFmtId="8" fontId="0" fillId="0" borderId="0" xfId="0" applyNumberFormat="1"/>
    <xf numFmtId="0" fontId="8" fillId="0" borderId="1" xfId="0" applyFont="1" applyBorder="1" applyAlignment="1">
      <alignment horizontal="justify" vertical="center" wrapText="1"/>
    </xf>
    <xf numFmtId="0" fontId="0" fillId="0" borderId="7" xfId="0" applyBorder="1"/>
    <xf numFmtId="44" fontId="0" fillId="0" borderId="7" xfId="1" applyFont="1" applyBorder="1"/>
    <xf numFmtId="0" fontId="0" fillId="0" borderId="7" xfId="0" applyBorder="1" applyAlignment="1">
      <alignment wrapText="1"/>
    </xf>
    <xf numFmtId="0" fontId="0" fillId="0" borderId="7" xfId="0" applyFill="1" applyBorder="1" applyAlignment="1">
      <alignment wrapText="1"/>
    </xf>
    <xf numFmtId="44" fontId="0" fillId="0" borderId="7" xfId="0" applyNumberFormat="1" applyBorder="1"/>
    <xf numFmtId="167" fontId="0" fillId="0" borderId="0" xfId="0" applyNumberFormat="1"/>
    <xf numFmtId="0" fontId="9" fillId="0" borderId="0" xfId="0" applyFont="1"/>
    <xf numFmtId="0" fontId="0" fillId="0" borderId="0" xfId="0" applyAlignment="1">
      <alignment horizontal="left"/>
    </xf>
    <xf numFmtId="167" fontId="0" fillId="0" borderId="0" xfId="0" applyNumberFormat="1" applyAlignment="1">
      <alignment horizontal="left"/>
    </xf>
    <xf numFmtId="10" fontId="0" fillId="0" borderId="0" xfId="0" applyNumberFormat="1" applyAlignment="1">
      <alignment horizontal="left"/>
    </xf>
    <xf numFmtId="0" fontId="10" fillId="0" borderId="0" xfId="0" applyFont="1" applyAlignment="1">
      <alignment horizontal="left"/>
    </xf>
    <xf numFmtId="168" fontId="0" fillId="0" borderId="0" xfId="0" applyNumberFormat="1"/>
    <xf numFmtId="0" fontId="9" fillId="0" borderId="8" xfId="0" applyFont="1" applyBorder="1"/>
    <xf numFmtId="0" fontId="9" fillId="0" borderId="9" xfId="0" applyFont="1" applyBorder="1"/>
    <xf numFmtId="167" fontId="9" fillId="0" borderId="9" xfId="0" applyNumberFormat="1" applyFont="1" applyBorder="1"/>
    <xf numFmtId="0" fontId="9" fillId="0" borderId="9" xfId="0" applyFont="1" applyBorder="1" applyAlignment="1">
      <alignment horizontal="center"/>
    </xf>
    <xf numFmtId="0" fontId="9" fillId="0" borderId="10" xfId="0" applyFont="1" applyBorder="1"/>
    <xf numFmtId="0" fontId="9" fillId="0" borderId="7" xfId="0" applyFont="1" applyBorder="1"/>
    <xf numFmtId="167" fontId="9" fillId="0" borderId="7" xfId="0" applyNumberFormat="1" applyFont="1" applyBorder="1"/>
    <xf numFmtId="0" fontId="0" fillId="0" borderId="10" xfId="0" applyBorder="1"/>
    <xf numFmtId="167" fontId="0" fillId="0" borderId="7" xfId="0" applyNumberFormat="1" applyBorder="1"/>
    <xf numFmtId="40" fontId="0" fillId="0" borderId="7" xfId="0" applyNumberFormat="1" applyBorder="1"/>
    <xf numFmtId="10" fontId="0" fillId="0" borderId="7" xfId="0" applyNumberFormat="1" applyBorder="1"/>
    <xf numFmtId="0" fontId="0" fillId="0" borderId="0" xfId="0" applyBorder="1"/>
    <xf numFmtId="40" fontId="0" fillId="0" borderId="0" xfId="0" applyNumberFormat="1" applyBorder="1"/>
    <xf numFmtId="9" fontId="0" fillId="0" borderId="0" xfId="0" applyNumberFormat="1" applyBorder="1"/>
    <xf numFmtId="167" fontId="0" fillId="0" borderId="0" xfId="0" applyNumberFormat="1" applyBorder="1"/>
    <xf numFmtId="10" fontId="9" fillId="0" borderId="7" xfId="0" applyNumberFormat="1" applyFont="1" applyBorder="1"/>
    <xf numFmtId="0" fontId="11" fillId="0" borderId="0" xfId="0" applyFont="1"/>
    <xf numFmtId="40" fontId="11" fillId="0" borderId="0" xfId="0" applyNumberFormat="1" applyFont="1" applyBorder="1"/>
    <xf numFmtId="9" fontId="11" fillId="0" borderId="0" xfId="0" applyNumberFormat="1" applyFont="1" applyBorder="1"/>
    <xf numFmtId="167" fontId="11" fillId="0" borderId="0" xfId="0" applyNumberFormat="1" applyFont="1" applyBorder="1"/>
    <xf numFmtId="167" fontId="13" fillId="0" borderId="0" xfId="0" applyNumberFormat="1" applyFont="1" applyAlignment="1">
      <alignment horizontal="left"/>
    </xf>
    <xf numFmtId="10" fontId="13" fillId="0" borderId="0" xfId="0" applyNumberFormat="1" applyFont="1" applyAlignment="1">
      <alignment horizontal="left"/>
    </xf>
    <xf numFmtId="40" fontId="13" fillId="0" borderId="7" xfId="0" applyNumberFormat="1" applyFont="1" applyBorder="1"/>
    <xf numFmtId="10" fontId="13" fillId="0" borderId="7" xfId="0" applyNumberFormat="1" applyFont="1" applyBorder="1"/>
    <xf numFmtId="9" fontId="0" fillId="0" borderId="0" xfId="0" applyNumberFormat="1"/>
    <xf numFmtId="167" fontId="13" fillId="0" borderId="7" xfId="0" applyNumberFormat="1" applyFont="1" applyBorder="1"/>
    <xf numFmtId="167" fontId="12" fillId="0" borderId="0" xfId="0" applyNumberFormat="1" applyFont="1"/>
    <xf numFmtId="0" fontId="14" fillId="0" borderId="0" xfId="0" applyFont="1" applyBorder="1"/>
    <xf numFmtId="44" fontId="13" fillId="0" borderId="7" xfId="0" applyNumberFormat="1" applyFont="1" applyBorder="1"/>
    <xf numFmtId="44" fontId="9" fillId="0" borderId="7" xfId="1" applyFont="1" applyBorder="1"/>
    <xf numFmtId="44" fontId="13" fillId="0" borderId="7" xfId="1" applyFont="1" applyBorder="1"/>
    <xf numFmtId="40" fontId="14" fillId="0" borderId="0" xfId="0" applyNumberFormat="1" applyFont="1" applyBorder="1"/>
    <xf numFmtId="0" fontId="14" fillId="0" borderId="0" xfId="0" applyFont="1" applyBorder="1" applyAlignment="1">
      <alignment horizontal="center"/>
    </xf>
    <xf numFmtId="40" fontId="14" fillId="0" borderId="0" xfId="0" applyNumberFormat="1" applyFont="1" applyBorder="1" applyAlignment="1">
      <alignment horizontal="center"/>
    </xf>
    <xf numFmtId="9" fontId="14" fillId="0" borderId="0" xfId="0" applyNumberFormat="1" applyFont="1" applyBorder="1" applyAlignment="1">
      <alignment horizontal="center"/>
    </xf>
    <xf numFmtId="167" fontId="14" fillId="0" borderId="0" xfId="0" applyNumberFormat="1" applyFont="1" applyBorder="1" applyAlignment="1">
      <alignment horizontal="center"/>
    </xf>
    <xf numFmtId="167" fontId="15" fillId="0" borderId="0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 applyBorder="1" applyAlignment="1"/>
    <xf numFmtId="0" fontId="5" fillId="0" borderId="0" xfId="0" applyFont="1" applyBorder="1" applyAlignment="1"/>
    <xf numFmtId="0" fontId="17" fillId="0" borderId="0" xfId="0" applyFont="1" applyBorder="1" applyAlignment="1"/>
    <xf numFmtId="0" fontId="0" fillId="0" borderId="0" xfId="0" applyAlignment="1">
      <alignment vertical="center"/>
    </xf>
    <xf numFmtId="0" fontId="18" fillId="2" borderId="7" xfId="0" applyFont="1" applyFill="1" applyBorder="1" applyAlignment="1"/>
    <xf numFmtId="44" fontId="18" fillId="0" borderId="7" xfId="0" applyNumberFormat="1" applyFont="1" applyBorder="1" applyAlignment="1"/>
    <xf numFmtId="0" fontId="18" fillId="0" borderId="0" xfId="0" applyFont="1" applyBorder="1" applyAlignment="1"/>
    <xf numFmtId="0" fontId="17" fillId="2" borderId="7" xfId="0" applyFont="1" applyFill="1" applyBorder="1" applyAlignment="1"/>
    <xf numFmtId="44" fontId="17" fillId="0" borderId="7" xfId="0" applyNumberFormat="1" applyFont="1" applyBorder="1" applyAlignment="1"/>
    <xf numFmtId="0" fontId="19" fillId="0" borderId="0" xfId="0" applyFont="1" applyBorder="1" applyAlignment="1"/>
    <xf numFmtId="0" fontId="20" fillId="2" borderId="7" xfId="0" applyFont="1" applyFill="1" applyBorder="1" applyAlignment="1"/>
    <xf numFmtId="44" fontId="20" fillId="0" borderId="7" xfId="0" applyNumberFormat="1" applyFont="1" applyBorder="1" applyAlignment="1"/>
    <xf numFmtId="0" fontId="21" fillId="0" borderId="0" xfId="0" applyFont="1" applyBorder="1" applyAlignment="1"/>
    <xf numFmtId="44" fontId="22" fillId="0" borderId="7" xfId="0" applyNumberFormat="1" applyFont="1" applyBorder="1" applyAlignment="1"/>
    <xf numFmtId="0" fontId="23" fillId="0" borderId="0" xfId="0" applyFont="1" applyBorder="1" applyAlignment="1"/>
    <xf numFmtId="44" fontId="17" fillId="0" borderId="0" xfId="0" applyNumberFormat="1" applyFont="1" applyBorder="1" applyAlignment="1"/>
    <xf numFmtId="44" fontId="5" fillId="0" borderId="0" xfId="0" applyNumberFormat="1" applyFont="1" applyBorder="1" applyAlignment="1"/>
    <xf numFmtId="0" fontId="24" fillId="0" borderId="0" xfId="0" applyFont="1" applyBorder="1" applyAlignment="1"/>
    <xf numFmtId="44" fontId="20" fillId="0" borderId="7" xfId="1" applyNumberFormat="1" applyFont="1" applyBorder="1" applyAlignment="1" applyProtection="1"/>
    <xf numFmtId="44" fontId="25" fillId="0" borderId="7" xfId="0" applyNumberFormat="1" applyFont="1" applyBorder="1" applyAlignment="1"/>
    <xf numFmtId="0" fontId="25" fillId="0" borderId="0" xfId="0" applyFont="1" applyBorder="1" applyAlignment="1"/>
    <xf numFmtId="0" fontId="20" fillId="0" borderId="0" xfId="0" applyFont="1" applyBorder="1" applyAlignment="1"/>
    <xf numFmtId="44" fontId="23" fillId="0" borderId="7" xfId="0" applyNumberFormat="1" applyFont="1" applyBorder="1" applyAlignment="1"/>
    <xf numFmtId="44" fontId="20" fillId="0" borderId="0" xfId="1" applyFont="1" applyBorder="1" applyAlignment="1" applyProtection="1"/>
    <xf numFmtId="0" fontId="17" fillId="0" borderId="7" xfId="0" applyFont="1" applyBorder="1" applyAlignment="1"/>
    <xf numFmtId="44" fontId="17" fillId="0" borderId="0" xfId="1" applyFont="1" applyBorder="1" applyAlignment="1" applyProtection="1"/>
    <xf numFmtId="0" fontId="26" fillId="0" borderId="0" xfId="0" applyFont="1" applyBorder="1" applyAlignment="1"/>
    <xf numFmtId="7" fontId="18" fillId="0" borderId="0" xfId="0" applyNumberFormat="1" applyFont="1" applyBorder="1" applyAlignment="1"/>
    <xf numFmtId="44" fontId="18" fillId="0" borderId="0" xfId="0" applyNumberFormat="1" applyFont="1" applyBorder="1" applyAlignment="1"/>
    <xf numFmtId="0" fontId="27" fillId="0" borderId="0" xfId="0" applyFont="1" applyBorder="1" applyAlignment="1"/>
    <xf numFmtId="8" fontId="17" fillId="0" borderId="0" xfId="0" applyNumberFormat="1" applyFont="1" applyBorder="1" applyAlignment="1"/>
    <xf numFmtId="9" fontId="17" fillId="0" borderId="0" xfId="0" applyNumberFormat="1" applyFont="1" applyBorder="1" applyAlignment="1"/>
    <xf numFmtId="0" fontId="16" fillId="0" borderId="0" xfId="0" applyFont="1" applyFill="1" applyBorder="1" applyAlignment="1"/>
    <xf numFmtId="0" fontId="3" fillId="0" borderId="0" xfId="0" applyFont="1" applyBorder="1" applyAlignment="1"/>
    <xf numFmtId="44" fontId="1" fillId="0" borderId="0" xfId="1" applyAlignment="1" applyProtection="1">
      <alignment vertical="top"/>
      <protection locked="0"/>
    </xf>
    <xf numFmtId="43" fontId="5" fillId="0" borderId="0" xfId="0" applyNumberFormat="1" applyFont="1" applyBorder="1" applyAlignment="1"/>
    <xf numFmtId="43" fontId="26" fillId="0" borderId="0" xfId="0" applyNumberFormat="1" applyFont="1" applyBorder="1" applyAlignment="1"/>
    <xf numFmtId="8" fontId="19" fillId="0" borderId="0" xfId="0" applyNumberFormat="1" applyFont="1" applyBorder="1" applyAlignment="1"/>
    <xf numFmtId="9" fontId="19" fillId="0" borderId="0" xfId="0" applyNumberFormat="1" applyFont="1" applyBorder="1" applyAlignment="1"/>
    <xf numFmtId="43" fontId="3" fillId="0" borderId="0" xfId="0" applyNumberFormat="1" applyFont="1" applyBorder="1" applyAlignment="1"/>
    <xf numFmtId="0" fontId="17" fillId="0" borderId="0" xfId="0" applyFont="1" applyFill="1" applyBorder="1" applyAlignment="1"/>
    <xf numFmtId="0" fontId="17" fillId="0" borderId="0" xfId="0" applyFont="1" applyFill="1" applyAlignment="1"/>
    <xf numFmtId="0" fontId="17" fillId="0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26" fillId="0" borderId="0" xfId="0" applyFont="1" applyFill="1" applyAlignment="1">
      <alignment horizontal="right"/>
    </xf>
    <xf numFmtId="0" fontId="19" fillId="2" borderId="0" xfId="0" applyFont="1" applyFill="1" applyAlignment="1"/>
    <xf numFmtId="0" fontId="18" fillId="0" borderId="0" xfId="0" applyFont="1" applyFill="1" applyAlignment="1">
      <alignment horizontal="right"/>
    </xf>
    <xf numFmtId="0" fontId="19" fillId="0" borderId="0" xfId="0" applyFont="1" applyFill="1" applyAlignment="1">
      <alignment horizontal="center"/>
    </xf>
    <xf numFmtId="0" fontId="18" fillId="0" borderId="0" xfId="0" applyFont="1" applyFill="1" applyAlignment="1"/>
    <xf numFmtId="43" fontId="18" fillId="0" borderId="0" xfId="2" applyNumberFormat="1" applyFont="1" applyFill="1" applyAlignment="1" applyProtection="1">
      <alignment horizontal="right"/>
    </xf>
    <xf numFmtId="43" fontId="18" fillId="0" borderId="0" xfId="2" applyNumberFormat="1" applyFont="1" applyFill="1" applyAlignment="1" applyProtection="1"/>
    <xf numFmtId="43" fontId="18" fillId="0" borderId="0" xfId="0" applyNumberFormat="1" applyFont="1" applyFill="1" applyAlignment="1">
      <alignment horizontal="right"/>
    </xf>
    <xf numFmtId="43" fontId="18" fillId="0" borderId="0" xfId="0" applyNumberFormat="1" applyFont="1" applyFill="1" applyAlignment="1"/>
    <xf numFmtId="0" fontId="19" fillId="0" borderId="0" xfId="0" applyFont="1" applyFill="1" applyAlignment="1">
      <alignment horizontal="left"/>
    </xf>
    <xf numFmtId="0" fontId="19" fillId="0" borderId="0" xfId="0" applyFont="1" applyFill="1" applyAlignment="1"/>
    <xf numFmtId="43" fontId="19" fillId="0" borderId="0" xfId="0" applyNumberFormat="1" applyFont="1" applyFill="1" applyAlignment="1">
      <alignment horizontal="right"/>
    </xf>
    <xf numFmtId="43" fontId="19" fillId="0" borderId="0" xfId="2" applyNumberFormat="1" applyFont="1" applyFill="1" applyAlignment="1" applyProtection="1"/>
    <xf numFmtId="0" fontId="18" fillId="0" borderId="0" xfId="0" applyFont="1" applyAlignment="1"/>
    <xf numFmtId="0" fontId="19" fillId="0" borderId="0" xfId="0" applyFont="1" applyAlignment="1"/>
    <xf numFmtId="0" fontId="23" fillId="0" borderId="0" xfId="0" applyFont="1" applyAlignment="1"/>
    <xf numFmtId="43" fontId="23" fillId="0" borderId="0" xfId="2" applyNumberFormat="1" applyFont="1" applyFill="1" applyAlignment="1" applyProtection="1">
      <alignment horizontal="right"/>
    </xf>
    <xf numFmtId="169" fontId="17" fillId="0" borderId="0" xfId="2" applyNumberFormat="1" applyFont="1" applyFill="1" applyAlignment="1" applyProtection="1">
      <alignment horizontal="right"/>
    </xf>
    <xf numFmtId="169" fontId="17" fillId="0" borderId="0" xfId="2" applyNumberFormat="1" applyFont="1" applyFill="1" applyAlignment="1" applyProtection="1"/>
    <xf numFmtId="43" fontId="24" fillId="0" borderId="0" xfId="2" applyNumberFormat="1" applyFont="1" applyFill="1" applyAlignment="1" applyProtection="1">
      <alignment horizontal="right"/>
    </xf>
    <xf numFmtId="43" fontId="17" fillId="0" borderId="0" xfId="0" applyNumberFormat="1" applyFont="1" applyFill="1" applyAlignment="1">
      <alignment horizontal="right"/>
    </xf>
    <xf numFmtId="169" fontId="17" fillId="0" borderId="0" xfId="0" applyNumberFormat="1" applyFont="1" applyFill="1" applyAlignment="1">
      <alignment horizontal="right"/>
    </xf>
    <xf numFmtId="169" fontId="17" fillId="0" borderId="0" xfId="0" applyNumberFormat="1" applyFont="1" applyFill="1" applyAlignment="1"/>
    <xf numFmtId="0" fontId="8" fillId="0" borderId="6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9" fontId="6" fillId="0" borderId="6" xfId="0" applyNumberFormat="1" applyFont="1" applyBorder="1" applyAlignment="1">
      <alignment horizontal="justify" vertical="center" wrapText="1"/>
    </xf>
    <xf numFmtId="9" fontId="6" fillId="0" borderId="3" xfId="0" applyNumberFormat="1" applyFont="1" applyBorder="1" applyAlignment="1">
      <alignment horizontal="justify" vertical="center" wrapText="1"/>
    </xf>
    <xf numFmtId="10" fontId="6" fillId="0" borderId="6" xfId="0" applyNumberFormat="1" applyFont="1" applyBorder="1" applyAlignment="1">
      <alignment horizontal="justify" vertical="center" wrapText="1"/>
    </xf>
    <xf numFmtId="10" fontId="6" fillId="0" borderId="3" xfId="0" applyNumberFormat="1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10" fillId="0" borderId="0" xfId="0" applyFont="1" applyAlignment="1">
      <alignment horizontal="left"/>
    </xf>
    <xf numFmtId="0" fontId="21" fillId="0" borderId="0" xfId="0" applyFont="1" applyBorder="1" applyAlignment="1">
      <alignment wrapText="1"/>
    </xf>
    <xf numFmtId="0" fontId="17" fillId="0" borderId="0" xfId="0" applyFont="1" applyAlignment="1">
      <alignment wrapText="1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b/Desktop/PART%201%20REVI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Rent Market Project"/>
      <sheetName val="Building Purchase&amp;Depreciation"/>
      <sheetName val="Yearly Cashflow"/>
      <sheetName val="DCF Outline"/>
    </sheetNames>
    <sheetDataSet>
      <sheetData sheetId="0">
        <row r="6">
          <cell r="B6">
            <v>0.02</v>
          </cell>
        </row>
      </sheetData>
      <sheetData sheetId="1">
        <row r="5">
          <cell r="B5">
            <v>18.391693749999998</v>
          </cell>
        </row>
        <row r="6">
          <cell r="B6">
            <v>17.747984468749998</v>
          </cell>
        </row>
        <row r="7">
          <cell r="B7">
            <v>18.191684080468747</v>
          </cell>
        </row>
        <row r="8">
          <cell r="B8">
            <v>18.646476182480463</v>
          </cell>
        </row>
      </sheetData>
      <sheetData sheetId="2">
        <row r="3">
          <cell r="B3">
            <v>8152650</v>
          </cell>
        </row>
        <row r="10">
          <cell r="B10">
            <v>-42753.383723646111</v>
          </cell>
        </row>
        <row r="97">
          <cell r="B97">
            <v>450000</v>
          </cell>
        </row>
        <row r="98">
          <cell r="B98">
            <v>775629.23076923098</v>
          </cell>
        </row>
        <row r="102">
          <cell r="B102">
            <v>167233.84615384616</v>
          </cell>
        </row>
        <row r="103">
          <cell r="B103">
            <v>167233.84615384616</v>
          </cell>
        </row>
        <row r="104">
          <cell r="B104">
            <v>167233.84615384616</v>
          </cell>
          <cell r="C104">
            <v>5769.2307692307695</v>
          </cell>
        </row>
        <row r="105">
          <cell r="B105">
            <v>167233.84615384616</v>
          </cell>
          <cell r="C105">
            <v>11538.461538461539</v>
          </cell>
        </row>
      </sheetData>
      <sheetData sheetId="3">
        <row r="25">
          <cell r="E25">
            <v>1474414.2749999999</v>
          </cell>
        </row>
        <row r="29">
          <cell r="E29">
            <v>-150000</v>
          </cell>
        </row>
        <row r="42">
          <cell r="E42">
            <v>1320966.0861</v>
          </cell>
        </row>
        <row r="45">
          <cell r="E45">
            <v>-134825.39296875001</v>
          </cell>
        </row>
        <row r="46">
          <cell r="E46">
            <v>-66048.304304999998</v>
          </cell>
        </row>
        <row r="47">
          <cell r="E47">
            <v>-150000</v>
          </cell>
        </row>
        <row r="60">
          <cell r="E60">
            <v>1363689.2529989998</v>
          </cell>
        </row>
        <row r="63">
          <cell r="E63">
            <v>-138196.02779296873</v>
          </cell>
        </row>
        <row r="64">
          <cell r="E64">
            <v>-68184.462649949986</v>
          </cell>
        </row>
        <row r="77">
          <cell r="E77">
            <v>1301362.1494178951</v>
          </cell>
        </row>
        <row r="80">
          <cell r="E80">
            <v>-141650.92848779296</v>
          </cell>
        </row>
        <row r="81">
          <cell r="E81">
            <v>-130136.21494178951</v>
          </cell>
        </row>
        <row r="92">
          <cell r="E92">
            <v>60390</v>
          </cell>
        </row>
        <row r="94">
          <cell r="E94">
            <v>1317017.0031533425</v>
          </cell>
        </row>
        <row r="97">
          <cell r="E97">
            <v>-145192.20169998775</v>
          </cell>
        </row>
        <row r="98">
          <cell r="E98">
            <v>-131701.70031533425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workbookViewId="0">
      <selection activeCell="D14" sqref="D14"/>
    </sheetView>
  </sheetViews>
  <sheetFormatPr defaultColWidth="8.85546875" defaultRowHeight="15" x14ac:dyDescent="0.25"/>
  <cols>
    <col min="1" max="1" width="48" bestFit="1" customWidth="1"/>
    <col min="2" max="2" width="31.28515625" customWidth="1"/>
    <col min="3" max="3" width="37.28515625" bestFit="1" customWidth="1"/>
    <col min="4" max="4" width="26.28515625" customWidth="1"/>
  </cols>
  <sheetData>
    <row r="1" spans="1:4" x14ac:dyDescent="0.25">
      <c r="A1" s="1"/>
      <c r="B1" s="2"/>
      <c r="C1" s="2"/>
      <c r="D1" s="2"/>
    </row>
    <row r="2" spans="1:4" x14ac:dyDescent="0.25">
      <c r="A2" s="3" t="s">
        <v>0</v>
      </c>
      <c r="B2" s="2"/>
      <c r="C2" s="2"/>
      <c r="D2" s="2"/>
    </row>
    <row r="3" spans="1:4" x14ac:dyDescent="0.25">
      <c r="A3" s="3"/>
      <c r="B3" s="2"/>
      <c r="C3" s="2"/>
      <c r="D3" s="2"/>
    </row>
    <row r="4" spans="1:4" x14ac:dyDescent="0.25">
      <c r="A4" s="4" t="s">
        <v>1</v>
      </c>
      <c r="B4" s="2"/>
      <c r="C4" s="2"/>
      <c r="D4" s="2"/>
    </row>
    <row r="5" spans="1:4" x14ac:dyDescent="0.25">
      <c r="A5" s="1" t="s">
        <v>2</v>
      </c>
      <c r="B5" s="5">
        <v>135</v>
      </c>
      <c r="C5" s="2"/>
      <c r="D5" s="2"/>
    </row>
    <row r="6" spans="1:4" x14ac:dyDescent="0.25">
      <c r="A6" s="1" t="s">
        <v>3</v>
      </c>
      <c r="B6" s="6">
        <v>0.02</v>
      </c>
      <c r="C6" s="2"/>
      <c r="D6" s="2"/>
    </row>
    <row r="7" spans="1:4" x14ac:dyDescent="0.25">
      <c r="A7" s="1" t="s">
        <v>4</v>
      </c>
      <c r="B7" s="2">
        <v>60390</v>
      </c>
      <c r="C7" s="2"/>
      <c r="D7" s="2"/>
    </row>
    <row r="8" spans="1:4" x14ac:dyDescent="0.25">
      <c r="A8" s="1" t="s">
        <v>5</v>
      </c>
      <c r="B8" s="2">
        <v>3</v>
      </c>
      <c r="C8" s="2"/>
      <c r="D8" s="2"/>
    </row>
    <row r="9" spans="1:4" x14ac:dyDescent="0.25">
      <c r="A9" s="7" t="s">
        <v>6</v>
      </c>
      <c r="B9" s="5">
        <f>B7*B5</f>
        <v>8152650</v>
      </c>
      <c r="C9" s="2"/>
      <c r="D9" s="2"/>
    </row>
    <row r="10" spans="1:4" x14ac:dyDescent="0.25">
      <c r="A10" s="7" t="s">
        <v>7</v>
      </c>
      <c r="B10" s="5">
        <f>B9+(B6*B9)</f>
        <v>8315703</v>
      </c>
      <c r="C10" s="2"/>
      <c r="D10" s="2"/>
    </row>
    <row r="11" spans="1:4" x14ac:dyDescent="0.25">
      <c r="A11" s="1"/>
      <c r="B11" s="2"/>
      <c r="C11" s="2"/>
      <c r="D11" s="2"/>
    </row>
    <row r="12" spans="1:4" x14ac:dyDescent="0.25">
      <c r="A12" s="8" t="s">
        <v>8</v>
      </c>
      <c r="B12" s="2"/>
      <c r="C12" s="2"/>
      <c r="D12" s="2"/>
    </row>
    <row r="13" spans="1:4" x14ac:dyDescent="0.25">
      <c r="A13" s="9" t="s">
        <v>9</v>
      </c>
      <c r="B13" s="2"/>
      <c r="C13" s="2"/>
      <c r="D13" s="2"/>
    </row>
    <row r="14" spans="1:4" x14ac:dyDescent="0.25">
      <c r="A14" s="1" t="s">
        <v>10</v>
      </c>
      <c r="B14" s="2">
        <v>24156</v>
      </c>
      <c r="C14" s="2"/>
      <c r="D14" s="2"/>
    </row>
    <row r="15" spans="1:4" x14ac:dyDescent="0.25">
      <c r="A15" s="1" t="s">
        <v>11</v>
      </c>
      <c r="B15" s="5">
        <v>25</v>
      </c>
      <c r="C15" s="2"/>
      <c r="D15" s="2"/>
    </row>
    <row r="16" spans="1:4" x14ac:dyDescent="0.25">
      <c r="A16" s="1" t="s">
        <v>12</v>
      </c>
      <c r="B16" s="2">
        <v>2</v>
      </c>
      <c r="C16" s="2"/>
      <c r="D16" s="2"/>
    </row>
    <row r="17" spans="1:4" x14ac:dyDescent="0.25">
      <c r="A17" s="1"/>
      <c r="B17" s="2"/>
      <c r="C17" s="2"/>
      <c r="D17" s="2"/>
    </row>
    <row r="18" spans="1:4" x14ac:dyDescent="0.25">
      <c r="A18" s="9" t="s">
        <v>13</v>
      </c>
      <c r="B18" s="2"/>
      <c r="C18" s="2"/>
      <c r="D18" s="2"/>
    </row>
    <row r="19" spans="1:4" x14ac:dyDescent="0.25">
      <c r="A19" s="1" t="s">
        <v>10</v>
      </c>
      <c r="B19" s="2">
        <v>10266</v>
      </c>
      <c r="C19" s="2"/>
      <c r="D19" s="2"/>
    </row>
    <row r="20" spans="1:4" x14ac:dyDescent="0.25">
      <c r="A20" s="1" t="s">
        <v>11</v>
      </c>
      <c r="B20" s="5">
        <v>23.5</v>
      </c>
      <c r="C20" s="2"/>
      <c r="D20" s="2"/>
    </row>
    <row r="21" spans="1:4" x14ac:dyDescent="0.25">
      <c r="A21" s="1" t="s">
        <v>12</v>
      </c>
      <c r="B21" s="2">
        <v>4</v>
      </c>
      <c r="C21" s="2"/>
      <c r="D21" s="2"/>
    </row>
    <row r="22" spans="1:4" x14ac:dyDescent="0.25">
      <c r="A22" s="1" t="s">
        <v>14</v>
      </c>
      <c r="B22" s="10">
        <v>2.5000000000000001E-2</v>
      </c>
      <c r="C22" s="2"/>
      <c r="D22" s="2"/>
    </row>
    <row r="23" spans="1:4" x14ac:dyDescent="0.25">
      <c r="A23" s="1"/>
      <c r="B23" s="2"/>
      <c r="C23" s="2"/>
      <c r="D23" s="2"/>
    </row>
    <row r="24" spans="1:4" x14ac:dyDescent="0.25">
      <c r="A24" s="9" t="s">
        <v>15</v>
      </c>
      <c r="B24" s="2"/>
      <c r="C24" s="2"/>
      <c r="D24" s="2"/>
    </row>
    <row r="25" spans="1:4" x14ac:dyDescent="0.25">
      <c r="A25" s="1" t="s">
        <v>10</v>
      </c>
      <c r="B25" s="2">
        <f>B7-B14-B19</f>
        <v>25968</v>
      </c>
      <c r="C25" s="2"/>
      <c r="D25" s="2"/>
    </row>
    <row r="26" spans="1:4" x14ac:dyDescent="0.25">
      <c r="A26" s="1" t="s">
        <v>11</v>
      </c>
      <c r="B26" s="5">
        <v>22</v>
      </c>
      <c r="C26" s="2"/>
      <c r="D26" s="2"/>
    </row>
    <row r="27" spans="1:4" x14ac:dyDescent="0.25">
      <c r="A27" s="1" t="s">
        <v>12</v>
      </c>
      <c r="B27" s="2">
        <v>6</v>
      </c>
      <c r="C27" s="2"/>
      <c r="D27" s="2"/>
    </row>
    <row r="28" spans="1:4" x14ac:dyDescent="0.25">
      <c r="A28" s="1" t="s">
        <v>16</v>
      </c>
      <c r="B28" s="2">
        <v>2</v>
      </c>
      <c r="C28" s="2" t="s">
        <v>17</v>
      </c>
      <c r="D28" s="2"/>
    </row>
    <row r="29" spans="1:4" x14ac:dyDescent="0.25">
      <c r="A29" s="1"/>
      <c r="B29" s="2"/>
      <c r="C29" s="2"/>
      <c r="D29" s="2"/>
    </row>
    <row r="30" spans="1:4" x14ac:dyDescent="0.25">
      <c r="A30" s="8" t="s">
        <v>18</v>
      </c>
      <c r="B30" s="2"/>
      <c r="C30" s="2"/>
      <c r="D30" s="2"/>
    </row>
    <row r="31" spans="1:4" x14ac:dyDescent="0.25">
      <c r="A31" s="1" t="s">
        <v>19</v>
      </c>
      <c r="B31" s="5">
        <v>8.5</v>
      </c>
      <c r="C31" s="11" t="s">
        <v>20</v>
      </c>
      <c r="D31" s="2"/>
    </row>
    <row r="32" spans="1:4" x14ac:dyDescent="0.25">
      <c r="A32" s="1" t="s">
        <v>21</v>
      </c>
      <c r="B32" s="12">
        <v>150000</v>
      </c>
      <c r="C32" s="2" t="s">
        <v>22</v>
      </c>
      <c r="D32" s="2"/>
    </row>
    <row r="33" spans="1:4" x14ac:dyDescent="0.25">
      <c r="A33" s="1"/>
      <c r="B33" s="6"/>
      <c r="C33" s="2"/>
      <c r="D33" s="2"/>
    </row>
    <row r="34" spans="1:4" x14ac:dyDescent="0.25">
      <c r="A34" s="8" t="s">
        <v>23</v>
      </c>
      <c r="B34" s="2"/>
      <c r="C34" s="2"/>
      <c r="D34" s="2"/>
    </row>
    <row r="35" spans="1:4" x14ac:dyDescent="0.25">
      <c r="A35" s="1" t="s">
        <v>24</v>
      </c>
      <c r="B35" s="6">
        <v>0.05</v>
      </c>
      <c r="C35" s="2" t="s">
        <v>25</v>
      </c>
      <c r="D35" s="2"/>
    </row>
    <row r="36" spans="1:4" x14ac:dyDescent="0.25">
      <c r="A36" s="1" t="s">
        <v>26</v>
      </c>
      <c r="B36" s="6">
        <v>0.1</v>
      </c>
      <c r="C36" s="2" t="s">
        <v>25</v>
      </c>
      <c r="D36" s="2"/>
    </row>
    <row r="37" spans="1:4" x14ac:dyDescent="0.25">
      <c r="A37" s="8"/>
      <c r="B37" s="2"/>
      <c r="C37" s="2"/>
      <c r="D37" s="2"/>
    </row>
    <row r="38" spans="1:4" x14ac:dyDescent="0.25">
      <c r="A38" s="1" t="s">
        <v>27</v>
      </c>
      <c r="B38" s="5">
        <v>19.75</v>
      </c>
      <c r="C38" s="2"/>
      <c r="D38" s="2"/>
    </row>
    <row r="39" spans="1:4" x14ac:dyDescent="0.25">
      <c r="A39" s="1" t="s">
        <v>28</v>
      </c>
      <c r="B39" s="13">
        <v>3.5000000000000003E-2</v>
      </c>
      <c r="C39" s="2" t="s">
        <v>29</v>
      </c>
      <c r="D39" s="2"/>
    </row>
    <row r="40" spans="1:4" x14ac:dyDescent="0.25">
      <c r="A40" s="1" t="s">
        <v>30</v>
      </c>
      <c r="B40" s="13">
        <v>2.5000000000000001E-2</v>
      </c>
      <c r="C40" s="2" t="s">
        <v>31</v>
      </c>
      <c r="D40" s="2"/>
    </row>
    <row r="41" spans="1:4" x14ac:dyDescent="0.25">
      <c r="A41" s="1"/>
      <c r="B41" s="2"/>
      <c r="C41" s="2"/>
      <c r="D41" s="2"/>
    </row>
    <row r="42" spans="1:4" x14ac:dyDescent="0.25">
      <c r="A42" s="1" t="s">
        <v>32</v>
      </c>
      <c r="B42" s="13">
        <v>2.5000000000000001E-2</v>
      </c>
      <c r="C42" s="2" t="s">
        <v>33</v>
      </c>
      <c r="D42" s="2"/>
    </row>
    <row r="43" spans="1:4" x14ac:dyDescent="0.25">
      <c r="A43" s="1" t="s">
        <v>34</v>
      </c>
      <c r="B43" s="6">
        <v>0.25</v>
      </c>
      <c r="C43" s="2" t="s">
        <v>35</v>
      </c>
      <c r="D43" s="2"/>
    </row>
    <row r="44" spans="1:4" x14ac:dyDescent="0.25">
      <c r="A44" s="1"/>
      <c r="B44" s="2"/>
      <c r="C44" s="2"/>
      <c r="D44" s="2"/>
    </row>
    <row r="45" spans="1:4" x14ac:dyDescent="0.25">
      <c r="A45" s="1" t="s">
        <v>36</v>
      </c>
      <c r="B45" s="2">
        <v>450000</v>
      </c>
      <c r="C45" s="2" t="s">
        <v>37</v>
      </c>
      <c r="D45" s="2"/>
    </row>
    <row r="46" spans="1:4" x14ac:dyDescent="0.25">
      <c r="A46" s="1"/>
      <c r="B46" s="2"/>
      <c r="C46" s="2"/>
      <c r="D46" s="2"/>
    </row>
    <row r="47" spans="1:4" x14ac:dyDescent="0.25">
      <c r="A47" s="1" t="s">
        <v>38</v>
      </c>
      <c r="B47" s="2">
        <v>39</v>
      </c>
      <c r="C47" s="2" t="s">
        <v>39</v>
      </c>
      <c r="D47" s="2"/>
    </row>
    <row r="48" spans="1:4" x14ac:dyDescent="0.25">
      <c r="A48" s="1" t="s">
        <v>40</v>
      </c>
      <c r="B48" s="6">
        <v>0.8</v>
      </c>
      <c r="C48" s="2" t="s">
        <v>41</v>
      </c>
      <c r="D48" s="2"/>
    </row>
    <row r="49" spans="1:4" x14ac:dyDescent="0.25">
      <c r="A49" s="1"/>
      <c r="B49" s="2"/>
      <c r="C49" s="2"/>
      <c r="D49" s="2"/>
    </row>
    <row r="50" spans="1:4" x14ac:dyDescent="0.25">
      <c r="A50" s="1" t="s">
        <v>42</v>
      </c>
      <c r="B50" s="6">
        <v>0.75</v>
      </c>
      <c r="C50" s="2"/>
      <c r="D50" s="2"/>
    </row>
    <row r="51" spans="1:4" x14ac:dyDescent="0.25">
      <c r="A51" s="1" t="s">
        <v>43</v>
      </c>
      <c r="B51" s="10">
        <v>8.5000000000000006E-2</v>
      </c>
      <c r="C51" s="2"/>
      <c r="D51" s="2"/>
    </row>
    <row r="52" spans="1:4" x14ac:dyDescent="0.25">
      <c r="A52" s="1" t="s">
        <v>44</v>
      </c>
      <c r="B52" s="6">
        <v>0.1</v>
      </c>
      <c r="C52" s="2"/>
      <c r="D52" s="2"/>
    </row>
    <row r="53" spans="1:4" x14ac:dyDescent="0.25">
      <c r="A53" s="1" t="s">
        <v>45</v>
      </c>
      <c r="B53" s="6">
        <v>0.02</v>
      </c>
      <c r="C53" s="2" t="s">
        <v>46</v>
      </c>
      <c r="D53" s="2"/>
    </row>
    <row r="54" spans="1:4" x14ac:dyDescent="0.25">
      <c r="A54" s="1"/>
      <c r="B54" s="2"/>
      <c r="C54" s="2"/>
      <c r="D54" s="2"/>
    </row>
    <row r="55" spans="1:4" x14ac:dyDescent="0.25">
      <c r="A55" s="1" t="s">
        <v>47</v>
      </c>
      <c r="B55" s="2">
        <v>5</v>
      </c>
      <c r="C55" s="2" t="s">
        <v>48</v>
      </c>
      <c r="D55" s="2"/>
    </row>
    <row r="56" spans="1:4" x14ac:dyDescent="0.25">
      <c r="A56" s="1"/>
      <c r="B56" s="2"/>
      <c r="C56" s="2"/>
      <c r="D56" s="2"/>
    </row>
    <row r="57" spans="1:4" x14ac:dyDescent="0.25">
      <c r="A57" s="1" t="s">
        <v>49</v>
      </c>
      <c r="B57" s="6">
        <v>0.35</v>
      </c>
      <c r="C57" s="2"/>
      <c r="D57" s="2"/>
    </row>
    <row r="58" spans="1:4" x14ac:dyDescent="0.25">
      <c r="A58" s="1" t="s">
        <v>50</v>
      </c>
      <c r="B58" s="6">
        <v>0.17</v>
      </c>
      <c r="C58" s="2"/>
      <c r="D58" s="2"/>
    </row>
    <row r="59" spans="1:4" x14ac:dyDescent="0.25">
      <c r="A59" s="1"/>
      <c r="B59" s="2"/>
      <c r="C59" s="2"/>
      <c r="D59" s="2"/>
    </row>
    <row r="60" spans="1:4" x14ac:dyDescent="0.25">
      <c r="A60" s="1" t="s">
        <v>51</v>
      </c>
      <c r="B60" s="2"/>
      <c r="C60" s="2"/>
      <c r="D60" s="2"/>
    </row>
    <row r="61" spans="1:4" x14ac:dyDescent="0.25">
      <c r="A61" s="1"/>
      <c r="B61" s="2"/>
      <c r="C61" s="2"/>
      <c r="D61" s="2"/>
    </row>
    <row r="62" spans="1:4" x14ac:dyDescent="0.25">
      <c r="A62" s="8"/>
      <c r="B62" s="2"/>
      <c r="C62" s="2"/>
      <c r="D62" s="2"/>
    </row>
    <row r="63" spans="1:4" x14ac:dyDescent="0.25">
      <c r="B63" s="11"/>
      <c r="C63" s="11"/>
      <c r="D63" s="11"/>
    </row>
    <row r="64" spans="1:4" ht="15.75" thickBot="1" x14ac:dyDescent="0.3">
      <c r="A64" s="1"/>
      <c r="B64" s="2"/>
      <c r="C64" s="2"/>
      <c r="D64" s="2"/>
    </row>
    <row r="65" spans="1:5" ht="16.5" thickBot="1" x14ac:dyDescent="0.3">
      <c r="A65" s="14"/>
      <c r="B65" s="15" t="s">
        <v>52</v>
      </c>
      <c r="C65" s="15" t="s">
        <v>53</v>
      </c>
      <c r="D65" s="15" t="s">
        <v>54</v>
      </c>
    </row>
    <row r="66" spans="1:5" ht="47.25" x14ac:dyDescent="0.25">
      <c r="A66" s="141" t="s">
        <v>55</v>
      </c>
      <c r="B66" s="143">
        <v>0.04</v>
      </c>
      <c r="C66" s="16" t="s">
        <v>56</v>
      </c>
      <c r="D66" s="145">
        <v>5.5E-2</v>
      </c>
    </row>
    <row r="67" spans="1:5" ht="16.5" thickBot="1" x14ac:dyDescent="0.3">
      <c r="A67" s="142"/>
      <c r="B67" s="144"/>
      <c r="C67" s="17">
        <v>6.5000000000000002E-2</v>
      </c>
      <c r="D67" s="146"/>
    </row>
    <row r="68" spans="1:5" ht="16.5" thickBot="1" x14ac:dyDescent="0.3">
      <c r="A68" s="18" t="s">
        <v>57</v>
      </c>
      <c r="B68" s="19">
        <v>0.02</v>
      </c>
      <c r="C68" s="17">
        <v>2.5000000000000001E-2</v>
      </c>
      <c r="D68" s="19">
        <v>0.02</v>
      </c>
    </row>
    <row r="69" spans="1:5" ht="31.5" x14ac:dyDescent="0.25">
      <c r="A69" s="141" t="s">
        <v>58</v>
      </c>
      <c r="B69" s="147" t="s">
        <v>59</v>
      </c>
      <c r="C69" s="16" t="s">
        <v>60</v>
      </c>
      <c r="D69" s="147" t="s">
        <v>62</v>
      </c>
    </row>
    <row r="70" spans="1:5" ht="16.5" thickBot="1" x14ac:dyDescent="0.3">
      <c r="A70" s="142"/>
      <c r="B70" s="148"/>
      <c r="C70" s="20" t="s">
        <v>61</v>
      </c>
      <c r="D70" s="148"/>
    </row>
    <row r="71" spans="1:5" ht="16.5" thickBot="1" x14ac:dyDescent="0.3">
      <c r="A71" s="18" t="s">
        <v>63</v>
      </c>
      <c r="B71" s="20" t="s">
        <v>59</v>
      </c>
      <c r="C71" s="19">
        <v>0.03</v>
      </c>
      <c r="D71" s="19">
        <v>0.03</v>
      </c>
    </row>
    <row r="72" spans="1:5" ht="16.5" thickBot="1" x14ac:dyDescent="0.3">
      <c r="A72" s="18" t="s">
        <v>64</v>
      </c>
      <c r="B72" s="19">
        <v>0.02</v>
      </c>
      <c r="C72" s="20" t="s">
        <v>59</v>
      </c>
      <c r="D72" s="19">
        <v>0.02</v>
      </c>
    </row>
    <row r="76" spans="1:5" x14ac:dyDescent="0.25">
      <c r="A76" t="s">
        <v>72</v>
      </c>
    </row>
    <row r="77" spans="1:5" ht="15.75" thickBot="1" x14ac:dyDescent="0.3"/>
    <row r="78" spans="1:5" ht="16.5" thickBot="1" x14ac:dyDescent="0.3">
      <c r="A78" s="23" t="s">
        <v>66</v>
      </c>
      <c r="B78" s="15">
        <v>2</v>
      </c>
      <c r="C78" s="15">
        <v>3</v>
      </c>
      <c r="D78" s="15">
        <v>4</v>
      </c>
      <c r="E78" s="15">
        <v>5</v>
      </c>
    </row>
    <row r="79" spans="1:5" ht="16.5" thickBot="1" x14ac:dyDescent="0.3">
      <c r="A79" s="18" t="s">
        <v>71</v>
      </c>
      <c r="B79" s="19">
        <v>0.03</v>
      </c>
      <c r="C79" s="17">
        <v>2.5000000000000001E-2</v>
      </c>
      <c r="D79" s="17">
        <v>1.7999999999999999E-2</v>
      </c>
      <c r="E79" s="17">
        <v>2.3E-2</v>
      </c>
    </row>
  </sheetData>
  <mergeCells count="6">
    <mergeCell ref="A66:A67"/>
    <mergeCell ref="B66:B67"/>
    <mergeCell ref="D66:D67"/>
    <mergeCell ref="A69:A70"/>
    <mergeCell ref="B69:B70"/>
    <mergeCell ref="D69:D7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4"/>
  <sheetViews>
    <sheetView zoomScaleNormal="100" zoomScalePageLayoutView="99" workbookViewId="0">
      <selection activeCell="K8" sqref="K8"/>
    </sheetView>
  </sheetViews>
  <sheetFormatPr defaultColWidth="9" defaultRowHeight="15" x14ac:dyDescent="0.25"/>
  <cols>
    <col min="1" max="1" width="5.140625" bestFit="1" customWidth="1"/>
    <col min="2" max="2" width="17.28515625" bestFit="1" customWidth="1"/>
    <col min="3" max="3" width="16.42578125" customWidth="1"/>
    <col min="4" max="4" width="16.5703125" customWidth="1"/>
    <col min="5" max="5" width="16.140625" style="29" bestFit="1" customWidth="1"/>
    <col min="6" max="6" width="20.28515625" style="29" bestFit="1" customWidth="1"/>
    <col min="7" max="7" width="16.85546875" bestFit="1" customWidth="1"/>
    <col min="8" max="8" width="27.28515625" customWidth="1"/>
    <col min="9" max="9" width="21.7109375" customWidth="1"/>
    <col min="10" max="10" width="14.85546875" bestFit="1" customWidth="1"/>
    <col min="11" max="11" width="13.140625" customWidth="1"/>
    <col min="12" max="256" width="11.28515625" customWidth="1"/>
    <col min="257" max="257" width="5.140625" bestFit="1" customWidth="1"/>
    <col min="258" max="258" width="17.140625" bestFit="1" customWidth="1"/>
    <col min="259" max="259" width="12.28515625" bestFit="1" customWidth="1"/>
    <col min="260" max="260" width="7.85546875" bestFit="1" customWidth="1"/>
    <col min="261" max="261" width="13.85546875" bestFit="1" customWidth="1"/>
    <col min="262" max="262" width="15.140625" bestFit="1" customWidth="1"/>
    <col min="263" max="263" width="13.28515625" bestFit="1" customWidth="1"/>
    <col min="264" max="264" width="15.140625" bestFit="1" customWidth="1"/>
    <col min="265" max="265" width="21.7109375" customWidth="1"/>
    <col min="266" max="266" width="13.85546875" customWidth="1"/>
    <col min="267" max="267" width="13.140625" customWidth="1"/>
    <col min="268" max="512" width="11.28515625" customWidth="1"/>
    <col min="513" max="513" width="5.140625" bestFit="1" customWidth="1"/>
    <col min="514" max="514" width="17.140625" bestFit="1" customWidth="1"/>
    <col min="515" max="515" width="12.28515625" bestFit="1" customWidth="1"/>
    <col min="516" max="516" width="7.85546875" bestFit="1" customWidth="1"/>
    <col min="517" max="517" width="13.85546875" bestFit="1" customWidth="1"/>
    <col min="518" max="518" width="15.140625" bestFit="1" customWidth="1"/>
    <col min="519" max="519" width="13.28515625" bestFit="1" customWidth="1"/>
    <col min="520" max="520" width="15.140625" bestFit="1" customWidth="1"/>
    <col min="521" max="521" width="21.7109375" customWidth="1"/>
    <col min="522" max="522" width="13.85546875" customWidth="1"/>
    <col min="523" max="523" width="13.140625" customWidth="1"/>
    <col min="524" max="768" width="11.28515625" customWidth="1"/>
    <col min="769" max="769" width="5.140625" bestFit="1" customWidth="1"/>
    <col min="770" max="770" width="17.140625" bestFit="1" customWidth="1"/>
    <col min="771" max="771" width="12.28515625" bestFit="1" customWidth="1"/>
    <col min="772" max="772" width="7.85546875" bestFit="1" customWidth="1"/>
    <col min="773" max="773" width="13.85546875" bestFit="1" customWidth="1"/>
    <col min="774" max="774" width="15.140625" bestFit="1" customWidth="1"/>
    <col min="775" max="775" width="13.28515625" bestFit="1" customWidth="1"/>
    <col min="776" max="776" width="15.140625" bestFit="1" customWidth="1"/>
    <col min="777" max="777" width="21.7109375" customWidth="1"/>
    <col min="778" max="778" width="13.85546875" customWidth="1"/>
    <col min="779" max="779" width="13.140625" customWidth="1"/>
    <col min="780" max="1024" width="11.28515625" customWidth="1"/>
    <col min="1025" max="1025" width="5.140625" bestFit="1" customWidth="1"/>
    <col min="1026" max="1026" width="17.140625" bestFit="1" customWidth="1"/>
    <col min="1027" max="1027" width="12.28515625" bestFit="1" customWidth="1"/>
    <col min="1028" max="1028" width="7.85546875" bestFit="1" customWidth="1"/>
    <col min="1029" max="1029" width="13.85546875" bestFit="1" customWidth="1"/>
    <col min="1030" max="1030" width="15.140625" bestFit="1" customWidth="1"/>
    <col min="1031" max="1031" width="13.28515625" bestFit="1" customWidth="1"/>
    <col min="1032" max="1032" width="15.140625" bestFit="1" customWidth="1"/>
    <col min="1033" max="1033" width="21.7109375" customWidth="1"/>
    <col min="1034" max="1034" width="13.85546875" customWidth="1"/>
    <col min="1035" max="1035" width="13.140625" customWidth="1"/>
    <col min="1036" max="1280" width="11.28515625" customWidth="1"/>
    <col min="1281" max="1281" width="5.140625" bestFit="1" customWidth="1"/>
    <col min="1282" max="1282" width="17.140625" bestFit="1" customWidth="1"/>
    <col min="1283" max="1283" width="12.28515625" bestFit="1" customWidth="1"/>
    <col min="1284" max="1284" width="7.85546875" bestFit="1" customWidth="1"/>
    <col min="1285" max="1285" width="13.85546875" bestFit="1" customWidth="1"/>
    <col min="1286" max="1286" width="15.140625" bestFit="1" customWidth="1"/>
    <col min="1287" max="1287" width="13.28515625" bestFit="1" customWidth="1"/>
    <col min="1288" max="1288" width="15.140625" bestFit="1" customWidth="1"/>
    <col min="1289" max="1289" width="21.7109375" customWidth="1"/>
    <col min="1290" max="1290" width="13.85546875" customWidth="1"/>
    <col min="1291" max="1291" width="13.140625" customWidth="1"/>
    <col min="1292" max="1536" width="11.28515625" customWidth="1"/>
    <col min="1537" max="1537" width="5.140625" bestFit="1" customWidth="1"/>
    <col min="1538" max="1538" width="17.140625" bestFit="1" customWidth="1"/>
    <col min="1539" max="1539" width="12.28515625" bestFit="1" customWidth="1"/>
    <col min="1540" max="1540" width="7.85546875" bestFit="1" customWidth="1"/>
    <col min="1541" max="1541" width="13.85546875" bestFit="1" customWidth="1"/>
    <col min="1542" max="1542" width="15.140625" bestFit="1" customWidth="1"/>
    <col min="1543" max="1543" width="13.28515625" bestFit="1" customWidth="1"/>
    <col min="1544" max="1544" width="15.140625" bestFit="1" customWidth="1"/>
    <col min="1545" max="1545" width="21.7109375" customWidth="1"/>
    <col min="1546" max="1546" width="13.85546875" customWidth="1"/>
    <col min="1547" max="1547" width="13.140625" customWidth="1"/>
    <col min="1548" max="1792" width="11.28515625" customWidth="1"/>
    <col min="1793" max="1793" width="5.140625" bestFit="1" customWidth="1"/>
    <col min="1794" max="1794" width="17.140625" bestFit="1" customWidth="1"/>
    <col min="1795" max="1795" width="12.28515625" bestFit="1" customWidth="1"/>
    <col min="1796" max="1796" width="7.85546875" bestFit="1" customWidth="1"/>
    <col min="1797" max="1797" width="13.85546875" bestFit="1" customWidth="1"/>
    <col min="1798" max="1798" width="15.140625" bestFit="1" customWidth="1"/>
    <col min="1799" max="1799" width="13.28515625" bestFit="1" customWidth="1"/>
    <col min="1800" max="1800" width="15.140625" bestFit="1" customWidth="1"/>
    <col min="1801" max="1801" width="21.7109375" customWidth="1"/>
    <col min="1802" max="1802" width="13.85546875" customWidth="1"/>
    <col min="1803" max="1803" width="13.140625" customWidth="1"/>
    <col min="1804" max="2048" width="11.28515625" customWidth="1"/>
    <col min="2049" max="2049" width="5.140625" bestFit="1" customWidth="1"/>
    <col min="2050" max="2050" width="17.140625" bestFit="1" customWidth="1"/>
    <col min="2051" max="2051" width="12.28515625" bestFit="1" customWidth="1"/>
    <col min="2052" max="2052" width="7.85546875" bestFit="1" customWidth="1"/>
    <col min="2053" max="2053" width="13.85546875" bestFit="1" customWidth="1"/>
    <col min="2054" max="2054" width="15.140625" bestFit="1" customWidth="1"/>
    <col min="2055" max="2055" width="13.28515625" bestFit="1" customWidth="1"/>
    <col min="2056" max="2056" width="15.140625" bestFit="1" customWidth="1"/>
    <col min="2057" max="2057" width="21.7109375" customWidth="1"/>
    <col min="2058" max="2058" width="13.85546875" customWidth="1"/>
    <col min="2059" max="2059" width="13.140625" customWidth="1"/>
    <col min="2060" max="2304" width="11.28515625" customWidth="1"/>
    <col min="2305" max="2305" width="5.140625" bestFit="1" customWidth="1"/>
    <col min="2306" max="2306" width="17.140625" bestFit="1" customWidth="1"/>
    <col min="2307" max="2307" width="12.28515625" bestFit="1" customWidth="1"/>
    <col min="2308" max="2308" width="7.85546875" bestFit="1" customWidth="1"/>
    <col min="2309" max="2309" width="13.85546875" bestFit="1" customWidth="1"/>
    <col min="2310" max="2310" width="15.140625" bestFit="1" customWidth="1"/>
    <col min="2311" max="2311" width="13.28515625" bestFit="1" customWidth="1"/>
    <col min="2312" max="2312" width="15.140625" bestFit="1" customWidth="1"/>
    <col min="2313" max="2313" width="21.7109375" customWidth="1"/>
    <col min="2314" max="2314" width="13.85546875" customWidth="1"/>
    <col min="2315" max="2315" width="13.140625" customWidth="1"/>
    <col min="2316" max="2560" width="11.28515625" customWidth="1"/>
    <col min="2561" max="2561" width="5.140625" bestFit="1" customWidth="1"/>
    <col min="2562" max="2562" width="17.140625" bestFit="1" customWidth="1"/>
    <col min="2563" max="2563" width="12.28515625" bestFit="1" customWidth="1"/>
    <col min="2564" max="2564" width="7.85546875" bestFit="1" customWidth="1"/>
    <col min="2565" max="2565" width="13.85546875" bestFit="1" customWidth="1"/>
    <col min="2566" max="2566" width="15.140625" bestFit="1" customWidth="1"/>
    <col min="2567" max="2567" width="13.28515625" bestFit="1" customWidth="1"/>
    <col min="2568" max="2568" width="15.140625" bestFit="1" customWidth="1"/>
    <col min="2569" max="2569" width="21.7109375" customWidth="1"/>
    <col min="2570" max="2570" width="13.85546875" customWidth="1"/>
    <col min="2571" max="2571" width="13.140625" customWidth="1"/>
    <col min="2572" max="2816" width="11.28515625" customWidth="1"/>
    <col min="2817" max="2817" width="5.140625" bestFit="1" customWidth="1"/>
    <col min="2818" max="2818" width="17.140625" bestFit="1" customWidth="1"/>
    <col min="2819" max="2819" width="12.28515625" bestFit="1" customWidth="1"/>
    <col min="2820" max="2820" width="7.85546875" bestFit="1" customWidth="1"/>
    <col min="2821" max="2821" width="13.85546875" bestFit="1" customWidth="1"/>
    <col min="2822" max="2822" width="15.140625" bestFit="1" customWidth="1"/>
    <col min="2823" max="2823" width="13.28515625" bestFit="1" customWidth="1"/>
    <col min="2824" max="2824" width="15.140625" bestFit="1" customWidth="1"/>
    <col min="2825" max="2825" width="21.7109375" customWidth="1"/>
    <col min="2826" max="2826" width="13.85546875" customWidth="1"/>
    <col min="2827" max="2827" width="13.140625" customWidth="1"/>
    <col min="2828" max="3072" width="11.28515625" customWidth="1"/>
    <col min="3073" max="3073" width="5.140625" bestFit="1" customWidth="1"/>
    <col min="3074" max="3074" width="17.140625" bestFit="1" customWidth="1"/>
    <col min="3075" max="3075" width="12.28515625" bestFit="1" customWidth="1"/>
    <col min="3076" max="3076" width="7.85546875" bestFit="1" customWidth="1"/>
    <col min="3077" max="3077" width="13.85546875" bestFit="1" customWidth="1"/>
    <col min="3078" max="3078" width="15.140625" bestFit="1" customWidth="1"/>
    <col min="3079" max="3079" width="13.28515625" bestFit="1" customWidth="1"/>
    <col min="3080" max="3080" width="15.140625" bestFit="1" customWidth="1"/>
    <col min="3081" max="3081" width="21.7109375" customWidth="1"/>
    <col min="3082" max="3082" width="13.85546875" customWidth="1"/>
    <col min="3083" max="3083" width="13.140625" customWidth="1"/>
    <col min="3084" max="3328" width="11.28515625" customWidth="1"/>
    <col min="3329" max="3329" width="5.140625" bestFit="1" customWidth="1"/>
    <col min="3330" max="3330" width="17.140625" bestFit="1" customWidth="1"/>
    <col min="3331" max="3331" width="12.28515625" bestFit="1" customWidth="1"/>
    <col min="3332" max="3332" width="7.85546875" bestFit="1" customWidth="1"/>
    <col min="3333" max="3333" width="13.85546875" bestFit="1" customWidth="1"/>
    <col min="3334" max="3334" width="15.140625" bestFit="1" customWidth="1"/>
    <col min="3335" max="3335" width="13.28515625" bestFit="1" customWidth="1"/>
    <col min="3336" max="3336" width="15.140625" bestFit="1" customWidth="1"/>
    <col min="3337" max="3337" width="21.7109375" customWidth="1"/>
    <col min="3338" max="3338" width="13.85546875" customWidth="1"/>
    <col min="3339" max="3339" width="13.140625" customWidth="1"/>
    <col min="3340" max="3584" width="11.28515625" customWidth="1"/>
    <col min="3585" max="3585" width="5.140625" bestFit="1" customWidth="1"/>
    <col min="3586" max="3586" width="17.140625" bestFit="1" customWidth="1"/>
    <col min="3587" max="3587" width="12.28515625" bestFit="1" customWidth="1"/>
    <col min="3588" max="3588" width="7.85546875" bestFit="1" customWidth="1"/>
    <col min="3589" max="3589" width="13.85546875" bestFit="1" customWidth="1"/>
    <col min="3590" max="3590" width="15.140625" bestFit="1" customWidth="1"/>
    <col min="3591" max="3591" width="13.28515625" bestFit="1" customWidth="1"/>
    <col min="3592" max="3592" width="15.140625" bestFit="1" customWidth="1"/>
    <col min="3593" max="3593" width="21.7109375" customWidth="1"/>
    <col min="3594" max="3594" width="13.85546875" customWidth="1"/>
    <col min="3595" max="3595" width="13.140625" customWidth="1"/>
    <col min="3596" max="3840" width="11.28515625" customWidth="1"/>
    <col min="3841" max="3841" width="5.140625" bestFit="1" customWidth="1"/>
    <col min="3842" max="3842" width="17.140625" bestFit="1" customWidth="1"/>
    <col min="3843" max="3843" width="12.28515625" bestFit="1" customWidth="1"/>
    <col min="3844" max="3844" width="7.85546875" bestFit="1" customWidth="1"/>
    <col min="3845" max="3845" width="13.85546875" bestFit="1" customWidth="1"/>
    <col min="3846" max="3846" width="15.140625" bestFit="1" customWidth="1"/>
    <col min="3847" max="3847" width="13.28515625" bestFit="1" customWidth="1"/>
    <col min="3848" max="3848" width="15.140625" bestFit="1" customWidth="1"/>
    <col min="3849" max="3849" width="21.7109375" customWidth="1"/>
    <col min="3850" max="3850" width="13.85546875" customWidth="1"/>
    <col min="3851" max="3851" width="13.140625" customWidth="1"/>
    <col min="3852" max="4096" width="11.28515625" customWidth="1"/>
    <col min="4097" max="4097" width="5.140625" bestFit="1" customWidth="1"/>
    <col min="4098" max="4098" width="17.140625" bestFit="1" customWidth="1"/>
    <col min="4099" max="4099" width="12.28515625" bestFit="1" customWidth="1"/>
    <col min="4100" max="4100" width="7.85546875" bestFit="1" customWidth="1"/>
    <col min="4101" max="4101" width="13.85546875" bestFit="1" customWidth="1"/>
    <col min="4102" max="4102" width="15.140625" bestFit="1" customWidth="1"/>
    <col min="4103" max="4103" width="13.28515625" bestFit="1" customWidth="1"/>
    <col min="4104" max="4104" width="15.140625" bestFit="1" customWidth="1"/>
    <col min="4105" max="4105" width="21.7109375" customWidth="1"/>
    <col min="4106" max="4106" width="13.85546875" customWidth="1"/>
    <col min="4107" max="4107" width="13.140625" customWidth="1"/>
    <col min="4108" max="4352" width="11.28515625" customWidth="1"/>
    <col min="4353" max="4353" width="5.140625" bestFit="1" customWidth="1"/>
    <col min="4354" max="4354" width="17.140625" bestFit="1" customWidth="1"/>
    <col min="4355" max="4355" width="12.28515625" bestFit="1" customWidth="1"/>
    <col min="4356" max="4356" width="7.85546875" bestFit="1" customWidth="1"/>
    <col min="4357" max="4357" width="13.85546875" bestFit="1" customWidth="1"/>
    <col min="4358" max="4358" width="15.140625" bestFit="1" customWidth="1"/>
    <col min="4359" max="4359" width="13.28515625" bestFit="1" customWidth="1"/>
    <col min="4360" max="4360" width="15.140625" bestFit="1" customWidth="1"/>
    <col min="4361" max="4361" width="21.7109375" customWidth="1"/>
    <col min="4362" max="4362" width="13.85546875" customWidth="1"/>
    <col min="4363" max="4363" width="13.140625" customWidth="1"/>
    <col min="4364" max="4608" width="11.28515625" customWidth="1"/>
    <col min="4609" max="4609" width="5.140625" bestFit="1" customWidth="1"/>
    <col min="4610" max="4610" width="17.140625" bestFit="1" customWidth="1"/>
    <col min="4611" max="4611" width="12.28515625" bestFit="1" customWidth="1"/>
    <col min="4612" max="4612" width="7.85546875" bestFit="1" customWidth="1"/>
    <col min="4613" max="4613" width="13.85546875" bestFit="1" customWidth="1"/>
    <col min="4614" max="4614" width="15.140625" bestFit="1" customWidth="1"/>
    <col min="4615" max="4615" width="13.28515625" bestFit="1" customWidth="1"/>
    <col min="4616" max="4616" width="15.140625" bestFit="1" customWidth="1"/>
    <col min="4617" max="4617" width="21.7109375" customWidth="1"/>
    <col min="4618" max="4618" width="13.85546875" customWidth="1"/>
    <col min="4619" max="4619" width="13.140625" customWidth="1"/>
    <col min="4620" max="4864" width="11.28515625" customWidth="1"/>
    <col min="4865" max="4865" width="5.140625" bestFit="1" customWidth="1"/>
    <col min="4866" max="4866" width="17.140625" bestFit="1" customWidth="1"/>
    <col min="4867" max="4867" width="12.28515625" bestFit="1" customWidth="1"/>
    <col min="4868" max="4868" width="7.85546875" bestFit="1" customWidth="1"/>
    <col min="4869" max="4869" width="13.85546875" bestFit="1" customWidth="1"/>
    <col min="4870" max="4870" width="15.140625" bestFit="1" customWidth="1"/>
    <col min="4871" max="4871" width="13.28515625" bestFit="1" customWidth="1"/>
    <col min="4872" max="4872" width="15.140625" bestFit="1" customWidth="1"/>
    <col min="4873" max="4873" width="21.7109375" customWidth="1"/>
    <col min="4874" max="4874" width="13.85546875" customWidth="1"/>
    <col min="4875" max="4875" width="13.140625" customWidth="1"/>
    <col min="4876" max="5120" width="11.28515625" customWidth="1"/>
    <col min="5121" max="5121" width="5.140625" bestFit="1" customWidth="1"/>
    <col min="5122" max="5122" width="17.140625" bestFit="1" customWidth="1"/>
    <col min="5123" max="5123" width="12.28515625" bestFit="1" customWidth="1"/>
    <col min="5124" max="5124" width="7.85546875" bestFit="1" customWidth="1"/>
    <col min="5125" max="5125" width="13.85546875" bestFit="1" customWidth="1"/>
    <col min="5126" max="5126" width="15.140625" bestFit="1" customWidth="1"/>
    <col min="5127" max="5127" width="13.28515625" bestFit="1" customWidth="1"/>
    <col min="5128" max="5128" width="15.140625" bestFit="1" customWidth="1"/>
    <col min="5129" max="5129" width="21.7109375" customWidth="1"/>
    <col min="5130" max="5130" width="13.85546875" customWidth="1"/>
    <col min="5131" max="5131" width="13.140625" customWidth="1"/>
    <col min="5132" max="5376" width="11.28515625" customWidth="1"/>
    <col min="5377" max="5377" width="5.140625" bestFit="1" customWidth="1"/>
    <col min="5378" max="5378" width="17.140625" bestFit="1" customWidth="1"/>
    <col min="5379" max="5379" width="12.28515625" bestFit="1" customWidth="1"/>
    <col min="5380" max="5380" width="7.85546875" bestFit="1" customWidth="1"/>
    <col min="5381" max="5381" width="13.85546875" bestFit="1" customWidth="1"/>
    <col min="5382" max="5382" width="15.140625" bestFit="1" customWidth="1"/>
    <col min="5383" max="5383" width="13.28515625" bestFit="1" customWidth="1"/>
    <col min="5384" max="5384" width="15.140625" bestFit="1" customWidth="1"/>
    <col min="5385" max="5385" width="21.7109375" customWidth="1"/>
    <col min="5386" max="5386" width="13.85546875" customWidth="1"/>
    <col min="5387" max="5387" width="13.140625" customWidth="1"/>
    <col min="5388" max="5632" width="11.28515625" customWidth="1"/>
    <col min="5633" max="5633" width="5.140625" bestFit="1" customWidth="1"/>
    <col min="5634" max="5634" width="17.140625" bestFit="1" customWidth="1"/>
    <col min="5635" max="5635" width="12.28515625" bestFit="1" customWidth="1"/>
    <col min="5636" max="5636" width="7.85546875" bestFit="1" customWidth="1"/>
    <col min="5637" max="5637" width="13.85546875" bestFit="1" customWidth="1"/>
    <col min="5638" max="5638" width="15.140625" bestFit="1" customWidth="1"/>
    <col min="5639" max="5639" width="13.28515625" bestFit="1" customWidth="1"/>
    <col min="5640" max="5640" width="15.140625" bestFit="1" customWidth="1"/>
    <col min="5641" max="5641" width="21.7109375" customWidth="1"/>
    <col min="5642" max="5642" width="13.85546875" customWidth="1"/>
    <col min="5643" max="5643" width="13.140625" customWidth="1"/>
    <col min="5644" max="5888" width="11.28515625" customWidth="1"/>
    <col min="5889" max="5889" width="5.140625" bestFit="1" customWidth="1"/>
    <col min="5890" max="5890" width="17.140625" bestFit="1" customWidth="1"/>
    <col min="5891" max="5891" width="12.28515625" bestFit="1" customWidth="1"/>
    <col min="5892" max="5892" width="7.85546875" bestFit="1" customWidth="1"/>
    <col min="5893" max="5893" width="13.85546875" bestFit="1" customWidth="1"/>
    <col min="5894" max="5894" width="15.140625" bestFit="1" customWidth="1"/>
    <col min="5895" max="5895" width="13.28515625" bestFit="1" customWidth="1"/>
    <col min="5896" max="5896" width="15.140625" bestFit="1" customWidth="1"/>
    <col min="5897" max="5897" width="21.7109375" customWidth="1"/>
    <col min="5898" max="5898" width="13.85546875" customWidth="1"/>
    <col min="5899" max="5899" width="13.140625" customWidth="1"/>
    <col min="5900" max="6144" width="11.28515625" customWidth="1"/>
    <col min="6145" max="6145" width="5.140625" bestFit="1" customWidth="1"/>
    <col min="6146" max="6146" width="17.140625" bestFit="1" customWidth="1"/>
    <col min="6147" max="6147" width="12.28515625" bestFit="1" customWidth="1"/>
    <col min="6148" max="6148" width="7.85546875" bestFit="1" customWidth="1"/>
    <col min="6149" max="6149" width="13.85546875" bestFit="1" customWidth="1"/>
    <col min="6150" max="6150" width="15.140625" bestFit="1" customWidth="1"/>
    <col min="6151" max="6151" width="13.28515625" bestFit="1" customWidth="1"/>
    <col min="6152" max="6152" width="15.140625" bestFit="1" customWidth="1"/>
    <col min="6153" max="6153" width="21.7109375" customWidth="1"/>
    <col min="6154" max="6154" width="13.85546875" customWidth="1"/>
    <col min="6155" max="6155" width="13.140625" customWidth="1"/>
    <col min="6156" max="6400" width="11.28515625" customWidth="1"/>
    <col min="6401" max="6401" width="5.140625" bestFit="1" customWidth="1"/>
    <col min="6402" max="6402" width="17.140625" bestFit="1" customWidth="1"/>
    <col min="6403" max="6403" width="12.28515625" bestFit="1" customWidth="1"/>
    <col min="6404" max="6404" width="7.85546875" bestFit="1" customWidth="1"/>
    <col min="6405" max="6405" width="13.85546875" bestFit="1" customWidth="1"/>
    <col min="6406" max="6406" width="15.140625" bestFit="1" customWidth="1"/>
    <col min="6407" max="6407" width="13.28515625" bestFit="1" customWidth="1"/>
    <col min="6408" max="6408" width="15.140625" bestFit="1" customWidth="1"/>
    <col min="6409" max="6409" width="21.7109375" customWidth="1"/>
    <col min="6410" max="6410" width="13.85546875" customWidth="1"/>
    <col min="6411" max="6411" width="13.140625" customWidth="1"/>
    <col min="6412" max="6656" width="11.28515625" customWidth="1"/>
    <col min="6657" max="6657" width="5.140625" bestFit="1" customWidth="1"/>
    <col min="6658" max="6658" width="17.140625" bestFit="1" customWidth="1"/>
    <col min="6659" max="6659" width="12.28515625" bestFit="1" customWidth="1"/>
    <col min="6660" max="6660" width="7.85546875" bestFit="1" customWidth="1"/>
    <col min="6661" max="6661" width="13.85546875" bestFit="1" customWidth="1"/>
    <col min="6662" max="6662" width="15.140625" bestFit="1" customWidth="1"/>
    <col min="6663" max="6663" width="13.28515625" bestFit="1" customWidth="1"/>
    <col min="6664" max="6664" width="15.140625" bestFit="1" customWidth="1"/>
    <col min="6665" max="6665" width="21.7109375" customWidth="1"/>
    <col min="6666" max="6666" width="13.85546875" customWidth="1"/>
    <col min="6667" max="6667" width="13.140625" customWidth="1"/>
    <col min="6668" max="6912" width="11.28515625" customWidth="1"/>
    <col min="6913" max="6913" width="5.140625" bestFit="1" customWidth="1"/>
    <col min="6914" max="6914" width="17.140625" bestFit="1" customWidth="1"/>
    <col min="6915" max="6915" width="12.28515625" bestFit="1" customWidth="1"/>
    <col min="6916" max="6916" width="7.85546875" bestFit="1" customWidth="1"/>
    <col min="6917" max="6917" width="13.85546875" bestFit="1" customWidth="1"/>
    <col min="6918" max="6918" width="15.140625" bestFit="1" customWidth="1"/>
    <col min="6919" max="6919" width="13.28515625" bestFit="1" customWidth="1"/>
    <col min="6920" max="6920" width="15.140625" bestFit="1" customWidth="1"/>
    <col min="6921" max="6921" width="21.7109375" customWidth="1"/>
    <col min="6922" max="6922" width="13.85546875" customWidth="1"/>
    <col min="6923" max="6923" width="13.140625" customWidth="1"/>
    <col min="6924" max="7168" width="11.28515625" customWidth="1"/>
    <col min="7169" max="7169" width="5.140625" bestFit="1" customWidth="1"/>
    <col min="7170" max="7170" width="17.140625" bestFit="1" customWidth="1"/>
    <col min="7171" max="7171" width="12.28515625" bestFit="1" customWidth="1"/>
    <col min="7172" max="7172" width="7.85546875" bestFit="1" customWidth="1"/>
    <col min="7173" max="7173" width="13.85546875" bestFit="1" customWidth="1"/>
    <col min="7174" max="7174" width="15.140625" bestFit="1" customWidth="1"/>
    <col min="7175" max="7175" width="13.28515625" bestFit="1" customWidth="1"/>
    <col min="7176" max="7176" width="15.140625" bestFit="1" customWidth="1"/>
    <col min="7177" max="7177" width="21.7109375" customWidth="1"/>
    <col min="7178" max="7178" width="13.85546875" customWidth="1"/>
    <col min="7179" max="7179" width="13.140625" customWidth="1"/>
    <col min="7180" max="7424" width="11.28515625" customWidth="1"/>
    <col min="7425" max="7425" width="5.140625" bestFit="1" customWidth="1"/>
    <col min="7426" max="7426" width="17.140625" bestFit="1" customWidth="1"/>
    <col min="7427" max="7427" width="12.28515625" bestFit="1" customWidth="1"/>
    <col min="7428" max="7428" width="7.85546875" bestFit="1" customWidth="1"/>
    <col min="7429" max="7429" width="13.85546875" bestFit="1" customWidth="1"/>
    <col min="7430" max="7430" width="15.140625" bestFit="1" customWidth="1"/>
    <col min="7431" max="7431" width="13.28515625" bestFit="1" customWidth="1"/>
    <col min="7432" max="7432" width="15.140625" bestFit="1" customWidth="1"/>
    <col min="7433" max="7433" width="21.7109375" customWidth="1"/>
    <col min="7434" max="7434" width="13.85546875" customWidth="1"/>
    <col min="7435" max="7435" width="13.140625" customWidth="1"/>
    <col min="7436" max="7680" width="11.28515625" customWidth="1"/>
    <col min="7681" max="7681" width="5.140625" bestFit="1" customWidth="1"/>
    <col min="7682" max="7682" width="17.140625" bestFit="1" customWidth="1"/>
    <col min="7683" max="7683" width="12.28515625" bestFit="1" customWidth="1"/>
    <col min="7684" max="7684" width="7.85546875" bestFit="1" customWidth="1"/>
    <col min="7685" max="7685" width="13.85546875" bestFit="1" customWidth="1"/>
    <col min="7686" max="7686" width="15.140625" bestFit="1" customWidth="1"/>
    <col min="7687" max="7687" width="13.28515625" bestFit="1" customWidth="1"/>
    <col min="7688" max="7688" width="15.140625" bestFit="1" customWidth="1"/>
    <col min="7689" max="7689" width="21.7109375" customWidth="1"/>
    <col min="7690" max="7690" width="13.85546875" customWidth="1"/>
    <col min="7691" max="7691" width="13.140625" customWidth="1"/>
    <col min="7692" max="7936" width="11.28515625" customWidth="1"/>
    <col min="7937" max="7937" width="5.140625" bestFit="1" customWidth="1"/>
    <col min="7938" max="7938" width="17.140625" bestFit="1" customWidth="1"/>
    <col min="7939" max="7939" width="12.28515625" bestFit="1" customWidth="1"/>
    <col min="7940" max="7940" width="7.85546875" bestFit="1" customWidth="1"/>
    <col min="7941" max="7941" width="13.85546875" bestFit="1" customWidth="1"/>
    <col min="7942" max="7942" width="15.140625" bestFit="1" customWidth="1"/>
    <col min="7943" max="7943" width="13.28515625" bestFit="1" customWidth="1"/>
    <col min="7944" max="7944" width="15.140625" bestFit="1" customWidth="1"/>
    <col min="7945" max="7945" width="21.7109375" customWidth="1"/>
    <col min="7946" max="7946" width="13.85546875" customWidth="1"/>
    <col min="7947" max="7947" width="13.140625" customWidth="1"/>
    <col min="7948" max="8192" width="11.28515625" customWidth="1"/>
    <col min="8193" max="8193" width="5.140625" bestFit="1" customWidth="1"/>
    <col min="8194" max="8194" width="17.140625" bestFit="1" customWidth="1"/>
    <col min="8195" max="8195" width="12.28515625" bestFit="1" customWidth="1"/>
    <col min="8196" max="8196" width="7.85546875" bestFit="1" customWidth="1"/>
    <col min="8197" max="8197" width="13.85546875" bestFit="1" customWidth="1"/>
    <col min="8198" max="8198" width="15.140625" bestFit="1" customWidth="1"/>
    <col min="8199" max="8199" width="13.28515625" bestFit="1" customWidth="1"/>
    <col min="8200" max="8200" width="15.140625" bestFit="1" customWidth="1"/>
    <col min="8201" max="8201" width="21.7109375" customWidth="1"/>
    <col min="8202" max="8202" width="13.85546875" customWidth="1"/>
    <col min="8203" max="8203" width="13.140625" customWidth="1"/>
    <col min="8204" max="8448" width="11.28515625" customWidth="1"/>
    <col min="8449" max="8449" width="5.140625" bestFit="1" customWidth="1"/>
    <col min="8450" max="8450" width="17.140625" bestFit="1" customWidth="1"/>
    <col min="8451" max="8451" width="12.28515625" bestFit="1" customWidth="1"/>
    <col min="8452" max="8452" width="7.85546875" bestFit="1" customWidth="1"/>
    <col min="8453" max="8453" width="13.85546875" bestFit="1" customWidth="1"/>
    <col min="8454" max="8454" width="15.140625" bestFit="1" customWidth="1"/>
    <col min="8455" max="8455" width="13.28515625" bestFit="1" customWidth="1"/>
    <col min="8456" max="8456" width="15.140625" bestFit="1" customWidth="1"/>
    <col min="8457" max="8457" width="21.7109375" customWidth="1"/>
    <col min="8458" max="8458" width="13.85546875" customWidth="1"/>
    <col min="8459" max="8459" width="13.140625" customWidth="1"/>
    <col min="8460" max="8704" width="11.28515625" customWidth="1"/>
    <col min="8705" max="8705" width="5.140625" bestFit="1" customWidth="1"/>
    <col min="8706" max="8706" width="17.140625" bestFit="1" customWidth="1"/>
    <col min="8707" max="8707" width="12.28515625" bestFit="1" customWidth="1"/>
    <col min="8708" max="8708" width="7.85546875" bestFit="1" customWidth="1"/>
    <col min="8709" max="8709" width="13.85546875" bestFit="1" customWidth="1"/>
    <col min="8710" max="8710" width="15.140625" bestFit="1" customWidth="1"/>
    <col min="8711" max="8711" width="13.28515625" bestFit="1" customWidth="1"/>
    <col min="8712" max="8712" width="15.140625" bestFit="1" customWidth="1"/>
    <col min="8713" max="8713" width="21.7109375" customWidth="1"/>
    <col min="8714" max="8714" width="13.85546875" customWidth="1"/>
    <col min="8715" max="8715" width="13.140625" customWidth="1"/>
    <col min="8716" max="8960" width="11.28515625" customWidth="1"/>
    <col min="8961" max="8961" width="5.140625" bestFit="1" customWidth="1"/>
    <col min="8962" max="8962" width="17.140625" bestFit="1" customWidth="1"/>
    <col min="8963" max="8963" width="12.28515625" bestFit="1" customWidth="1"/>
    <col min="8964" max="8964" width="7.85546875" bestFit="1" customWidth="1"/>
    <col min="8965" max="8965" width="13.85546875" bestFit="1" customWidth="1"/>
    <col min="8966" max="8966" width="15.140625" bestFit="1" customWidth="1"/>
    <col min="8967" max="8967" width="13.28515625" bestFit="1" customWidth="1"/>
    <col min="8968" max="8968" width="15.140625" bestFit="1" customWidth="1"/>
    <col min="8969" max="8969" width="21.7109375" customWidth="1"/>
    <col min="8970" max="8970" width="13.85546875" customWidth="1"/>
    <col min="8971" max="8971" width="13.140625" customWidth="1"/>
    <col min="8972" max="9216" width="11.28515625" customWidth="1"/>
    <col min="9217" max="9217" width="5.140625" bestFit="1" customWidth="1"/>
    <col min="9218" max="9218" width="17.140625" bestFit="1" customWidth="1"/>
    <col min="9219" max="9219" width="12.28515625" bestFit="1" customWidth="1"/>
    <col min="9220" max="9220" width="7.85546875" bestFit="1" customWidth="1"/>
    <col min="9221" max="9221" width="13.85546875" bestFit="1" customWidth="1"/>
    <col min="9222" max="9222" width="15.140625" bestFit="1" customWidth="1"/>
    <col min="9223" max="9223" width="13.28515625" bestFit="1" customWidth="1"/>
    <col min="9224" max="9224" width="15.140625" bestFit="1" customWidth="1"/>
    <col min="9225" max="9225" width="21.7109375" customWidth="1"/>
    <col min="9226" max="9226" width="13.85546875" customWidth="1"/>
    <col min="9227" max="9227" width="13.140625" customWidth="1"/>
    <col min="9228" max="9472" width="11.28515625" customWidth="1"/>
    <col min="9473" max="9473" width="5.140625" bestFit="1" customWidth="1"/>
    <col min="9474" max="9474" width="17.140625" bestFit="1" customWidth="1"/>
    <col min="9475" max="9475" width="12.28515625" bestFit="1" customWidth="1"/>
    <col min="9476" max="9476" width="7.85546875" bestFit="1" customWidth="1"/>
    <col min="9477" max="9477" width="13.85546875" bestFit="1" customWidth="1"/>
    <col min="9478" max="9478" width="15.140625" bestFit="1" customWidth="1"/>
    <col min="9479" max="9479" width="13.28515625" bestFit="1" customWidth="1"/>
    <col min="9480" max="9480" width="15.140625" bestFit="1" customWidth="1"/>
    <col min="9481" max="9481" width="21.7109375" customWidth="1"/>
    <col min="9482" max="9482" width="13.85546875" customWidth="1"/>
    <col min="9483" max="9483" width="13.140625" customWidth="1"/>
    <col min="9484" max="9728" width="11.28515625" customWidth="1"/>
    <col min="9729" max="9729" width="5.140625" bestFit="1" customWidth="1"/>
    <col min="9730" max="9730" width="17.140625" bestFit="1" customWidth="1"/>
    <col min="9731" max="9731" width="12.28515625" bestFit="1" customWidth="1"/>
    <col min="9732" max="9732" width="7.85546875" bestFit="1" customWidth="1"/>
    <col min="9733" max="9733" width="13.85546875" bestFit="1" customWidth="1"/>
    <col min="9734" max="9734" width="15.140625" bestFit="1" customWidth="1"/>
    <col min="9735" max="9735" width="13.28515625" bestFit="1" customWidth="1"/>
    <col min="9736" max="9736" width="15.140625" bestFit="1" customWidth="1"/>
    <col min="9737" max="9737" width="21.7109375" customWidth="1"/>
    <col min="9738" max="9738" width="13.85546875" customWidth="1"/>
    <col min="9739" max="9739" width="13.140625" customWidth="1"/>
    <col min="9740" max="9984" width="11.28515625" customWidth="1"/>
    <col min="9985" max="9985" width="5.140625" bestFit="1" customWidth="1"/>
    <col min="9986" max="9986" width="17.140625" bestFit="1" customWidth="1"/>
    <col min="9987" max="9987" width="12.28515625" bestFit="1" customWidth="1"/>
    <col min="9988" max="9988" width="7.85546875" bestFit="1" customWidth="1"/>
    <col min="9989" max="9989" width="13.85546875" bestFit="1" customWidth="1"/>
    <col min="9990" max="9990" width="15.140625" bestFit="1" customWidth="1"/>
    <col min="9991" max="9991" width="13.28515625" bestFit="1" customWidth="1"/>
    <col min="9992" max="9992" width="15.140625" bestFit="1" customWidth="1"/>
    <col min="9993" max="9993" width="21.7109375" customWidth="1"/>
    <col min="9994" max="9994" width="13.85546875" customWidth="1"/>
    <col min="9995" max="9995" width="13.140625" customWidth="1"/>
    <col min="9996" max="10240" width="11.28515625" customWidth="1"/>
    <col min="10241" max="10241" width="5.140625" bestFit="1" customWidth="1"/>
    <col min="10242" max="10242" width="17.140625" bestFit="1" customWidth="1"/>
    <col min="10243" max="10243" width="12.28515625" bestFit="1" customWidth="1"/>
    <col min="10244" max="10244" width="7.85546875" bestFit="1" customWidth="1"/>
    <col min="10245" max="10245" width="13.85546875" bestFit="1" customWidth="1"/>
    <col min="10246" max="10246" width="15.140625" bestFit="1" customWidth="1"/>
    <col min="10247" max="10247" width="13.28515625" bestFit="1" customWidth="1"/>
    <col min="10248" max="10248" width="15.140625" bestFit="1" customWidth="1"/>
    <col min="10249" max="10249" width="21.7109375" customWidth="1"/>
    <col min="10250" max="10250" width="13.85546875" customWidth="1"/>
    <col min="10251" max="10251" width="13.140625" customWidth="1"/>
    <col min="10252" max="10496" width="11.28515625" customWidth="1"/>
    <col min="10497" max="10497" width="5.140625" bestFit="1" customWidth="1"/>
    <col min="10498" max="10498" width="17.140625" bestFit="1" customWidth="1"/>
    <col min="10499" max="10499" width="12.28515625" bestFit="1" customWidth="1"/>
    <col min="10500" max="10500" width="7.85546875" bestFit="1" customWidth="1"/>
    <col min="10501" max="10501" width="13.85546875" bestFit="1" customWidth="1"/>
    <col min="10502" max="10502" width="15.140625" bestFit="1" customWidth="1"/>
    <col min="10503" max="10503" width="13.28515625" bestFit="1" customWidth="1"/>
    <col min="10504" max="10504" width="15.140625" bestFit="1" customWidth="1"/>
    <col min="10505" max="10505" width="21.7109375" customWidth="1"/>
    <col min="10506" max="10506" width="13.85546875" customWidth="1"/>
    <col min="10507" max="10507" width="13.140625" customWidth="1"/>
    <col min="10508" max="10752" width="11.28515625" customWidth="1"/>
    <col min="10753" max="10753" width="5.140625" bestFit="1" customWidth="1"/>
    <col min="10754" max="10754" width="17.140625" bestFit="1" customWidth="1"/>
    <col min="10755" max="10755" width="12.28515625" bestFit="1" customWidth="1"/>
    <col min="10756" max="10756" width="7.85546875" bestFit="1" customWidth="1"/>
    <col min="10757" max="10757" width="13.85546875" bestFit="1" customWidth="1"/>
    <col min="10758" max="10758" width="15.140625" bestFit="1" customWidth="1"/>
    <col min="10759" max="10759" width="13.28515625" bestFit="1" customWidth="1"/>
    <col min="10760" max="10760" width="15.140625" bestFit="1" customWidth="1"/>
    <col min="10761" max="10761" width="21.7109375" customWidth="1"/>
    <col min="10762" max="10762" width="13.85546875" customWidth="1"/>
    <col min="10763" max="10763" width="13.140625" customWidth="1"/>
    <col min="10764" max="11008" width="11.28515625" customWidth="1"/>
    <col min="11009" max="11009" width="5.140625" bestFit="1" customWidth="1"/>
    <col min="11010" max="11010" width="17.140625" bestFit="1" customWidth="1"/>
    <col min="11011" max="11011" width="12.28515625" bestFit="1" customWidth="1"/>
    <col min="11012" max="11012" width="7.85546875" bestFit="1" customWidth="1"/>
    <col min="11013" max="11013" width="13.85546875" bestFit="1" customWidth="1"/>
    <col min="11014" max="11014" width="15.140625" bestFit="1" customWidth="1"/>
    <col min="11015" max="11015" width="13.28515625" bestFit="1" customWidth="1"/>
    <col min="11016" max="11016" width="15.140625" bestFit="1" customWidth="1"/>
    <col min="11017" max="11017" width="21.7109375" customWidth="1"/>
    <col min="11018" max="11018" width="13.85546875" customWidth="1"/>
    <col min="11019" max="11019" width="13.140625" customWidth="1"/>
    <col min="11020" max="11264" width="11.28515625" customWidth="1"/>
    <col min="11265" max="11265" width="5.140625" bestFit="1" customWidth="1"/>
    <col min="11266" max="11266" width="17.140625" bestFit="1" customWidth="1"/>
    <col min="11267" max="11267" width="12.28515625" bestFit="1" customWidth="1"/>
    <col min="11268" max="11268" width="7.85546875" bestFit="1" customWidth="1"/>
    <col min="11269" max="11269" width="13.85546875" bestFit="1" customWidth="1"/>
    <col min="11270" max="11270" width="15.140625" bestFit="1" customWidth="1"/>
    <col min="11271" max="11271" width="13.28515625" bestFit="1" customWidth="1"/>
    <col min="11272" max="11272" width="15.140625" bestFit="1" customWidth="1"/>
    <col min="11273" max="11273" width="21.7109375" customWidth="1"/>
    <col min="11274" max="11274" width="13.85546875" customWidth="1"/>
    <col min="11275" max="11275" width="13.140625" customWidth="1"/>
    <col min="11276" max="11520" width="11.28515625" customWidth="1"/>
    <col min="11521" max="11521" width="5.140625" bestFit="1" customWidth="1"/>
    <col min="11522" max="11522" width="17.140625" bestFit="1" customWidth="1"/>
    <col min="11523" max="11523" width="12.28515625" bestFit="1" customWidth="1"/>
    <col min="11524" max="11524" width="7.85546875" bestFit="1" customWidth="1"/>
    <col min="11525" max="11525" width="13.85546875" bestFit="1" customWidth="1"/>
    <col min="11526" max="11526" width="15.140625" bestFit="1" customWidth="1"/>
    <col min="11527" max="11527" width="13.28515625" bestFit="1" customWidth="1"/>
    <col min="11528" max="11528" width="15.140625" bestFit="1" customWidth="1"/>
    <col min="11529" max="11529" width="21.7109375" customWidth="1"/>
    <col min="11530" max="11530" width="13.85546875" customWidth="1"/>
    <col min="11531" max="11531" width="13.140625" customWidth="1"/>
    <col min="11532" max="11776" width="11.28515625" customWidth="1"/>
    <col min="11777" max="11777" width="5.140625" bestFit="1" customWidth="1"/>
    <col min="11778" max="11778" width="17.140625" bestFit="1" customWidth="1"/>
    <col min="11779" max="11779" width="12.28515625" bestFit="1" customWidth="1"/>
    <col min="11780" max="11780" width="7.85546875" bestFit="1" customWidth="1"/>
    <col min="11781" max="11781" width="13.85546875" bestFit="1" customWidth="1"/>
    <col min="11782" max="11782" width="15.140625" bestFit="1" customWidth="1"/>
    <col min="11783" max="11783" width="13.28515625" bestFit="1" customWidth="1"/>
    <col min="11784" max="11784" width="15.140625" bestFit="1" customWidth="1"/>
    <col min="11785" max="11785" width="21.7109375" customWidth="1"/>
    <col min="11786" max="11786" width="13.85546875" customWidth="1"/>
    <col min="11787" max="11787" width="13.140625" customWidth="1"/>
    <col min="11788" max="12032" width="11.28515625" customWidth="1"/>
    <col min="12033" max="12033" width="5.140625" bestFit="1" customWidth="1"/>
    <col min="12034" max="12034" width="17.140625" bestFit="1" customWidth="1"/>
    <col min="12035" max="12035" width="12.28515625" bestFit="1" customWidth="1"/>
    <col min="12036" max="12036" width="7.85546875" bestFit="1" customWidth="1"/>
    <col min="12037" max="12037" width="13.85546875" bestFit="1" customWidth="1"/>
    <col min="12038" max="12038" width="15.140625" bestFit="1" customWidth="1"/>
    <col min="12039" max="12039" width="13.28515625" bestFit="1" customWidth="1"/>
    <col min="12040" max="12040" width="15.140625" bestFit="1" customWidth="1"/>
    <col min="12041" max="12041" width="21.7109375" customWidth="1"/>
    <col min="12042" max="12042" width="13.85546875" customWidth="1"/>
    <col min="12043" max="12043" width="13.140625" customWidth="1"/>
    <col min="12044" max="12288" width="11.28515625" customWidth="1"/>
    <col min="12289" max="12289" width="5.140625" bestFit="1" customWidth="1"/>
    <col min="12290" max="12290" width="17.140625" bestFit="1" customWidth="1"/>
    <col min="12291" max="12291" width="12.28515625" bestFit="1" customWidth="1"/>
    <col min="12292" max="12292" width="7.85546875" bestFit="1" customWidth="1"/>
    <col min="12293" max="12293" width="13.85546875" bestFit="1" customWidth="1"/>
    <col min="12294" max="12294" width="15.140625" bestFit="1" customWidth="1"/>
    <col min="12295" max="12295" width="13.28515625" bestFit="1" customWidth="1"/>
    <col min="12296" max="12296" width="15.140625" bestFit="1" customWidth="1"/>
    <col min="12297" max="12297" width="21.7109375" customWidth="1"/>
    <col min="12298" max="12298" width="13.85546875" customWidth="1"/>
    <col min="12299" max="12299" width="13.140625" customWidth="1"/>
    <col min="12300" max="12544" width="11.28515625" customWidth="1"/>
    <col min="12545" max="12545" width="5.140625" bestFit="1" customWidth="1"/>
    <col min="12546" max="12546" width="17.140625" bestFit="1" customWidth="1"/>
    <col min="12547" max="12547" width="12.28515625" bestFit="1" customWidth="1"/>
    <col min="12548" max="12548" width="7.85546875" bestFit="1" customWidth="1"/>
    <col min="12549" max="12549" width="13.85546875" bestFit="1" customWidth="1"/>
    <col min="12550" max="12550" width="15.140625" bestFit="1" customWidth="1"/>
    <col min="12551" max="12551" width="13.28515625" bestFit="1" customWidth="1"/>
    <col min="12552" max="12552" width="15.140625" bestFit="1" customWidth="1"/>
    <col min="12553" max="12553" width="21.7109375" customWidth="1"/>
    <col min="12554" max="12554" width="13.85546875" customWidth="1"/>
    <col min="12555" max="12555" width="13.140625" customWidth="1"/>
    <col min="12556" max="12800" width="11.28515625" customWidth="1"/>
    <col min="12801" max="12801" width="5.140625" bestFit="1" customWidth="1"/>
    <col min="12802" max="12802" width="17.140625" bestFit="1" customWidth="1"/>
    <col min="12803" max="12803" width="12.28515625" bestFit="1" customWidth="1"/>
    <col min="12804" max="12804" width="7.85546875" bestFit="1" customWidth="1"/>
    <col min="12805" max="12805" width="13.85546875" bestFit="1" customWidth="1"/>
    <col min="12806" max="12806" width="15.140625" bestFit="1" customWidth="1"/>
    <col min="12807" max="12807" width="13.28515625" bestFit="1" customWidth="1"/>
    <col min="12808" max="12808" width="15.140625" bestFit="1" customWidth="1"/>
    <col min="12809" max="12809" width="21.7109375" customWidth="1"/>
    <col min="12810" max="12810" width="13.85546875" customWidth="1"/>
    <col min="12811" max="12811" width="13.140625" customWidth="1"/>
    <col min="12812" max="13056" width="11.28515625" customWidth="1"/>
    <col min="13057" max="13057" width="5.140625" bestFit="1" customWidth="1"/>
    <col min="13058" max="13058" width="17.140625" bestFit="1" customWidth="1"/>
    <col min="13059" max="13059" width="12.28515625" bestFit="1" customWidth="1"/>
    <col min="13060" max="13060" width="7.85546875" bestFit="1" customWidth="1"/>
    <col min="13061" max="13061" width="13.85546875" bestFit="1" customWidth="1"/>
    <col min="13062" max="13062" width="15.140625" bestFit="1" customWidth="1"/>
    <col min="13063" max="13063" width="13.28515625" bestFit="1" customWidth="1"/>
    <col min="13064" max="13064" width="15.140625" bestFit="1" customWidth="1"/>
    <col min="13065" max="13065" width="21.7109375" customWidth="1"/>
    <col min="13066" max="13066" width="13.85546875" customWidth="1"/>
    <col min="13067" max="13067" width="13.140625" customWidth="1"/>
    <col min="13068" max="13312" width="11.28515625" customWidth="1"/>
    <col min="13313" max="13313" width="5.140625" bestFit="1" customWidth="1"/>
    <col min="13314" max="13314" width="17.140625" bestFit="1" customWidth="1"/>
    <col min="13315" max="13315" width="12.28515625" bestFit="1" customWidth="1"/>
    <col min="13316" max="13316" width="7.85546875" bestFit="1" customWidth="1"/>
    <col min="13317" max="13317" width="13.85546875" bestFit="1" customWidth="1"/>
    <col min="13318" max="13318" width="15.140625" bestFit="1" customWidth="1"/>
    <col min="13319" max="13319" width="13.28515625" bestFit="1" customWidth="1"/>
    <col min="13320" max="13320" width="15.140625" bestFit="1" customWidth="1"/>
    <col min="13321" max="13321" width="21.7109375" customWidth="1"/>
    <col min="13322" max="13322" width="13.85546875" customWidth="1"/>
    <col min="13323" max="13323" width="13.140625" customWidth="1"/>
    <col min="13324" max="13568" width="11.28515625" customWidth="1"/>
    <col min="13569" max="13569" width="5.140625" bestFit="1" customWidth="1"/>
    <col min="13570" max="13570" width="17.140625" bestFit="1" customWidth="1"/>
    <col min="13571" max="13571" width="12.28515625" bestFit="1" customWidth="1"/>
    <col min="13572" max="13572" width="7.85546875" bestFit="1" customWidth="1"/>
    <col min="13573" max="13573" width="13.85546875" bestFit="1" customWidth="1"/>
    <col min="13574" max="13574" width="15.140625" bestFit="1" customWidth="1"/>
    <col min="13575" max="13575" width="13.28515625" bestFit="1" customWidth="1"/>
    <col min="13576" max="13576" width="15.140625" bestFit="1" customWidth="1"/>
    <col min="13577" max="13577" width="21.7109375" customWidth="1"/>
    <col min="13578" max="13578" width="13.85546875" customWidth="1"/>
    <col min="13579" max="13579" width="13.140625" customWidth="1"/>
    <col min="13580" max="13824" width="11.28515625" customWidth="1"/>
    <col min="13825" max="13825" width="5.140625" bestFit="1" customWidth="1"/>
    <col min="13826" max="13826" width="17.140625" bestFit="1" customWidth="1"/>
    <col min="13827" max="13827" width="12.28515625" bestFit="1" customWidth="1"/>
    <col min="13828" max="13828" width="7.85546875" bestFit="1" customWidth="1"/>
    <col min="13829" max="13829" width="13.85546875" bestFit="1" customWidth="1"/>
    <col min="13830" max="13830" width="15.140625" bestFit="1" customWidth="1"/>
    <col min="13831" max="13831" width="13.28515625" bestFit="1" customWidth="1"/>
    <col min="13832" max="13832" width="15.140625" bestFit="1" customWidth="1"/>
    <col min="13833" max="13833" width="21.7109375" customWidth="1"/>
    <col min="13834" max="13834" width="13.85546875" customWidth="1"/>
    <col min="13835" max="13835" width="13.140625" customWidth="1"/>
    <col min="13836" max="14080" width="11.28515625" customWidth="1"/>
    <col min="14081" max="14081" width="5.140625" bestFit="1" customWidth="1"/>
    <col min="14082" max="14082" width="17.140625" bestFit="1" customWidth="1"/>
    <col min="14083" max="14083" width="12.28515625" bestFit="1" customWidth="1"/>
    <col min="14084" max="14084" width="7.85546875" bestFit="1" customWidth="1"/>
    <col min="14085" max="14085" width="13.85546875" bestFit="1" customWidth="1"/>
    <col min="14086" max="14086" width="15.140625" bestFit="1" customWidth="1"/>
    <col min="14087" max="14087" width="13.28515625" bestFit="1" customWidth="1"/>
    <col min="14088" max="14088" width="15.140625" bestFit="1" customWidth="1"/>
    <col min="14089" max="14089" width="21.7109375" customWidth="1"/>
    <col min="14090" max="14090" width="13.85546875" customWidth="1"/>
    <col min="14091" max="14091" width="13.140625" customWidth="1"/>
    <col min="14092" max="14336" width="11.28515625" customWidth="1"/>
    <col min="14337" max="14337" width="5.140625" bestFit="1" customWidth="1"/>
    <col min="14338" max="14338" width="17.140625" bestFit="1" customWidth="1"/>
    <col min="14339" max="14339" width="12.28515625" bestFit="1" customWidth="1"/>
    <col min="14340" max="14340" width="7.85546875" bestFit="1" customWidth="1"/>
    <col min="14341" max="14341" width="13.85546875" bestFit="1" customWidth="1"/>
    <col min="14342" max="14342" width="15.140625" bestFit="1" customWidth="1"/>
    <col min="14343" max="14343" width="13.28515625" bestFit="1" customWidth="1"/>
    <col min="14344" max="14344" width="15.140625" bestFit="1" customWidth="1"/>
    <col min="14345" max="14345" width="21.7109375" customWidth="1"/>
    <col min="14346" max="14346" width="13.85546875" customWidth="1"/>
    <col min="14347" max="14347" width="13.140625" customWidth="1"/>
    <col min="14348" max="14592" width="11.28515625" customWidth="1"/>
    <col min="14593" max="14593" width="5.140625" bestFit="1" customWidth="1"/>
    <col min="14594" max="14594" width="17.140625" bestFit="1" customWidth="1"/>
    <col min="14595" max="14595" width="12.28515625" bestFit="1" customWidth="1"/>
    <col min="14596" max="14596" width="7.85546875" bestFit="1" customWidth="1"/>
    <col min="14597" max="14597" width="13.85546875" bestFit="1" customWidth="1"/>
    <col min="14598" max="14598" width="15.140625" bestFit="1" customWidth="1"/>
    <col min="14599" max="14599" width="13.28515625" bestFit="1" customWidth="1"/>
    <col min="14600" max="14600" width="15.140625" bestFit="1" customWidth="1"/>
    <col min="14601" max="14601" width="21.7109375" customWidth="1"/>
    <col min="14602" max="14602" width="13.85546875" customWidth="1"/>
    <col min="14603" max="14603" width="13.140625" customWidth="1"/>
    <col min="14604" max="14848" width="11.28515625" customWidth="1"/>
    <col min="14849" max="14849" width="5.140625" bestFit="1" customWidth="1"/>
    <col min="14850" max="14850" width="17.140625" bestFit="1" customWidth="1"/>
    <col min="14851" max="14851" width="12.28515625" bestFit="1" customWidth="1"/>
    <col min="14852" max="14852" width="7.85546875" bestFit="1" customWidth="1"/>
    <col min="14853" max="14853" width="13.85546875" bestFit="1" customWidth="1"/>
    <col min="14854" max="14854" width="15.140625" bestFit="1" customWidth="1"/>
    <col min="14855" max="14855" width="13.28515625" bestFit="1" customWidth="1"/>
    <col min="14856" max="14856" width="15.140625" bestFit="1" customWidth="1"/>
    <col min="14857" max="14857" width="21.7109375" customWidth="1"/>
    <col min="14858" max="14858" width="13.85546875" customWidth="1"/>
    <col min="14859" max="14859" width="13.140625" customWidth="1"/>
    <col min="14860" max="15104" width="11.28515625" customWidth="1"/>
    <col min="15105" max="15105" width="5.140625" bestFit="1" customWidth="1"/>
    <col min="15106" max="15106" width="17.140625" bestFit="1" customWidth="1"/>
    <col min="15107" max="15107" width="12.28515625" bestFit="1" customWidth="1"/>
    <col min="15108" max="15108" width="7.85546875" bestFit="1" customWidth="1"/>
    <col min="15109" max="15109" width="13.85546875" bestFit="1" customWidth="1"/>
    <col min="15110" max="15110" width="15.140625" bestFit="1" customWidth="1"/>
    <col min="15111" max="15111" width="13.28515625" bestFit="1" customWidth="1"/>
    <col min="15112" max="15112" width="15.140625" bestFit="1" customWidth="1"/>
    <col min="15113" max="15113" width="21.7109375" customWidth="1"/>
    <col min="15114" max="15114" width="13.85546875" customWidth="1"/>
    <col min="15115" max="15115" width="13.140625" customWidth="1"/>
    <col min="15116" max="15360" width="11.28515625" customWidth="1"/>
    <col min="15361" max="15361" width="5.140625" bestFit="1" customWidth="1"/>
    <col min="15362" max="15362" width="17.140625" bestFit="1" customWidth="1"/>
    <col min="15363" max="15363" width="12.28515625" bestFit="1" customWidth="1"/>
    <col min="15364" max="15364" width="7.85546875" bestFit="1" customWidth="1"/>
    <col min="15365" max="15365" width="13.85546875" bestFit="1" customWidth="1"/>
    <col min="15366" max="15366" width="15.140625" bestFit="1" customWidth="1"/>
    <col min="15367" max="15367" width="13.28515625" bestFit="1" customWidth="1"/>
    <col min="15368" max="15368" width="15.140625" bestFit="1" customWidth="1"/>
    <col min="15369" max="15369" width="21.7109375" customWidth="1"/>
    <col min="15370" max="15370" width="13.85546875" customWidth="1"/>
    <col min="15371" max="15371" width="13.140625" customWidth="1"/>
    <col min="15372" max="15616" width="11.28515625" customWidth="1"/>
    <col min="15617" max="15617" width="5.140625" bestFit="1" customWidth="1"/>
    <col min="15618" max="15618" width="17.140625" bestFit="1" customWidth="1"/>
    <col min="15619" max="15619" width="12.28515625" bestFit="1" customWidth="1"/>
    <col min="15620" max="15620" width="7.85546875" bestFit="1" customWidth="1"/>
    <col min="15621" max="15621" width="13.85546875" bestFit="1" customWidth="1"/>
    <col min="15622" max="15622" width="15.140625" bestFit="1" customWidth="1"/>
    <col min="15623" max="15623" width="13.28515625" bestFit="1" customWidth="1"/>
    <col min="15624" max="15624" width="15.140625" bestFit="1" customWidth="1"/>
    <col min="15625" max="15625" width="21.7109375" customWidth="1"/>
    <col min="15626" max="15626" width="13.85546875" customWidth="1"/>
    <col min="15627" max="15627" width="13.140625" customWidth="1"/>
    <col min="15628" max="15872" width="11.28515625" customWidth="1"/>
    <col min="15873" max="15873" width="5.140625" bestFit="1" customWidth="1"/>
    <col min="15874" max="15874" width="17.140625" bestFit="1" customWidth="1"/>
    <col min="15875" max="15875" width="12.28515625" bestFit="1" customWidth="1"/>
    <col min="15876" max="15876" width="7.85546875" bestFit="1" customWidth="1"/>
    <col min="15877" max="15877" width="13.85546875" bestFit="1" customWidth="1"/>
    <col min="15878" max="15878" width="15.140625" bestFit="1" customWidth="1"/>
    <col min="15879" max="15879" width="13.28515625" bestFit="1" customWidth="1"/>
    <col min="15880" max="15880" width="15.140625" bestFit="1" customWidth="1"/>
    <col min="15881" max="15881" width="21.7109375" customWidth="1"/>
    <col min="15882" max="15882" width="13.85546875" customWidth="1"/>
    <col min="15883" max="15883" width="13.140625" customWidth="1"/>
    <col min="15884" max="16128" width="11.28515625" customWidth="1"/>
    <col min="16129" max="16129" width="5.140625" bestFit="1" customWidth="1"/>
    <col min="16130" max="16130" width="17.140625" bestFit="1" customWidth="1"/>
    <col min="16131" max="16131" width="12.28515625" bestFit="1" customWidth="1"/>
    <col min="16132" max="16132" width="7.85546875" bestFit="1" customWidth="1"/>
    <col min="16133" max="16133" width="13.85546875" bestFit="1" customWidth="1"/>
    <col min="16134" max="16134" width="15.140625" bestFit="1" customWidth="1"/>
    <col min="16135" max="16135" width="13.28515625" bestFit="1" customWidth="1"/>
    <col min="16136" max="16136" width="15.140625" bestFit="1" customWidth="1"/>
    <col min="16137" max="16137" width="21.7109375" customWidth="1"/>
    <col min="16138" max="16138" width="13.85546875" customWidth="1"/>
    <col min="16139" max="16139" width="13.140625" customWidth="1"/>
    <col min="16140" max="16384" width="11.28515625" customWidth="1"/>
  </cols>
  <sheetData>
    <row r="2" spans="1:10" x14ac:dyDescent="0.25">
      <c r="A2" s="30" t="s">
        <v>65</v>
      </c>
    </row>
    <row r="4" spans="1:10" x14ac:dyDescent="0.25">
      <c r="A4" s="149" t="s">
        <v>85</v>
      </c>
      <c r="B4" s="149"/>
      <c r="C4" s="149"/>
      <c r="D4" s="149"/>
      <c r="E4" s="149"/>
      <c r="F4" s="149"/>
      <c r="G4" s="31"/>
      <c r="H4" s="56">
        <f>70%*8152650</f>
        <v>5706855</v>
      </c>
      <c r="I4" s="52"/>
    </row>
    <row r="5" spans="1:10" x14ac:dyDescent="0.25">
      <c r="A5" s="149" t="s">
        <v>86</v>
      </c>
      <c r="B5" s="149"/>
      <c r="C5" s="149"/>
      <c r="D5" s="149"/>
      <c r="E5" s="149"/>
      <c r="F5" s="149"/>
      <c r="G5" s="149"/>
      <c r="H5" s="33">
        <v>0.04</v>
      </c>
    </row>
    <row r="6" spans="1:10" x14ac:dyDescent="0.25">
      <c r="A6" s="149" t="s">
        <v>87</v>
      </c>
      <c r="B6" s="149"/>
      <c r="C6" s="149"/>
      <c r="D6" s="149"/>
      <c r="E6" s="149"/>
      <c r="F6" s="149"/>
      <c r="G6" s="149"/>
      <c r="H6" s="57">
        <v>0.03</v>
      </c>
      <c r="I6" s="52"/>
    </row>
    <row r="7" spans="1:10" x14ac:dyDescent="0.25">
      <c r="A7" s="149" t="s">
        <v>88</v>
      </c>
      <c r="B7" s="149"/>
      <c r="C7" s="149"/>
      <c r="D7" s="149"/>
      <c r="E7" s="149"/>
      <c r="F7" s="149"/>
      <c r="G7" s="149"/>
      <c r="H7" s="57">
        <v>2.5000000000000001E-2</v>
      </c>
    </row>
    <row r="8" spans="1:10" x14ac:dyDescent="0.25">
      <c r="A8" s="149" t="s">
        <v>89</v>
      </c>
      <c r="B8" s="149"/>
      <c r="C8" s="149"/>
      <c r="D8" s="149"/>
      <c r="E8" s="149"/>
      <c r="F8" s="149"/>
      <c r="G8" s="149"/>
      <c r="H8" s="57">
        <v>1.7999999999999999E-2</v>
      </c>
    </row>
    <row r="9" spans="1:10" x14ac:dyDescent="0.25">
      <c r="A9" s="149" t="s">
        <v>90</v>
      </c>
      <c r="B9" s="149"/>
      <c r="C9" s="149"/>
      <c r="D9" s="149"/>
      <c r="E9" s="149"/>
      <c r="F9" s="149"/>
      <c r="G9" s="149"/>
      <c r="H9" s="57">
        <v>2.3E-2</v>
      </c>
    </row>
    <row r="10" spans="1:10" x14ac:dyDescent="0.25">
      <c r="A10" s="34" t="s">
        <v>57</v>
      </c>
      <c r="B10" s="34"/>
      <c r="C10" s="34"/>
      <c r="D10" s="34"/>
      <c r="E10" s="34"/>
      <c r="F10" s="34"/>
      <c r="G10" s="34"/>
      <c r="H10" s="57">
        <v>0.02</v>
      </c>
    </row>
    <row r="11" spans="1:10" x14ac:dyDescent="0.25">
      <c r="A11" s="34" t="s">
        <v>91</v>
      </c>
      <c r="B11" s="34"/>
      <c r="C11" s="34"/>
      <c r="D11" s="34"/>
      <c r="E11" s="34"/>
      <c r="F11" s="34"/>
      <c r="G11" s="34"/>
      <c r="H11" s="33">
        <v>0.02</v>
      </c>
    </row>
    <row r="12" spans="1:10" x14ac:dyDescent="0.25">
      <c r="A12" s="149" t="s">
        <v>92</v>
      </c>
      <c r="B12" s="149"/>
      <c r="C12" s="149"/>
      <c r="D12" s="149"/>
      <c r="E12" s="149"/>
      <c r="F12" s="149"/>
      <c r="G12" s="149"/>
      <c r="H12" s="31">
        <v>30</v>
      </c>
    </row>
    <row r="13" spans="1:10" x14ac:dyDescent="0.25">
      <c r="B13" s="35"/>
    </row>
    <row r="14" spans="1:10" ht="15.75" thickBot="1" x14ac:dyDescent="0.3"/>
    <row r="15" spans="1:10" x14ac:dyDescent="0.25">
      <c r="A15" s="36" t="s">
        <v>66</v>
      </c>
      <c r="B15" s="37" t="s">
        <v>93</v>
      </c>
      <c r="C15" s="37" t="s">
        <v>94</v>
      </c>
      <c r="D15" s="37" t="s">
        <v>67</v>
      </c>
      <c r="E15" s="38" t="s">
        <v>95</v>
      </c>
      <c r="F15" s="38" t="s">
        <v>96</v>
      </c>
      <c r="G15" s="39" t="s">
        <v>97</v>
      </c>
      <c r="H15" s="37" t="s">
        <v>98</v>
      </c>
      <c r="I15" s="37" t="s">
        <v>71</v>
      </c>
      <c r="J15" s="37" t="s">
        <v>57</v>
      </c>
    </row>
    <row r="16" spans="1:10" hidden="1" x14ac:dyDescent="0.25">
      <c r="A16" s="40">
        <v>0</v>
      </c>
      <c r="B16" s="41"/>
      <c r="C16" s="41"/>
      <c r="D16" s="41"/>
      <c r="E16" s="42"/>
      <c r="F16" s="42"/>
      <c r="G16" s="41"/>
      <c r="H16" s="41"/>
      <c r="I16" s="41"/>
      <c r="J16" s="24"/>
    </row>
    <row r="17" spans="1:10" x14ac:dyDescent="0.25">
      <c r="A17" s="43">
        <v>1</v>
      </c>
      <c r="B17" s="44">
        <f>H4</f>
        <v>5706855</v>
      </c>
      <c r="C17" s="25">
        <f>-PMT(D17,H12,B17,0)</f>
        <v>330027.99039143091</v>
      </c>
      <c r="D17" s="46">
        <f>$H$5</f>
        <v>0.04</v>
      </c>
      <c r="E17" s="44">
        <f>B17*D17</f>
        <v>228274.2</v>
      </c>
      <c r="F17" s="44">
        <f>C17-E17</f>
        <v>101753.7903914309</v>
      </c>
      <c r="G17" s="45">
        <f>-FV($H$5,1,-C17,B17)</f>
        <v>5605101.2096085688</v>
      </c>
      <c r="H17" s="45">
        <f>G17*(1+I17)</f>
        <v>5605101.2096085688</v>
      </c>
      <c r="I17" s="46">
        <v>0</v>
      </c>
      <c r="J17" s="46">
        <f>$H$10</f>
        <v>0.02</v>
      </c>
    </row>
    <row r="18" spans="1:10" x14ac:dyDescent="0.25">
      <c r="A18" s="43">
        <v>2</v>
      </c>
      <c r="B18" s="45">
        <f>H17</f>
        <v>5605101.2096085688</v>
      </c>
      <c r="C18" s="66">
        <f>-PMT(D18,$H$12-A17,B18,0)</f>
        <v>370191.79522836232</v>
      </c>
      <c r="D18" s="59">
        <f>H6+J18</f>
        <v>0.05</v>
      </c>
      <c r="E18" s="44">
        <f t="shared" ref="E18:E21" si="0">B18*D18</f>
        <v>280255.06048042845</v>
      </c>
      <c r="F18" s="44">
        <f t="shared" ref="F18:F21" si="1">C18-E18</f>
        <v>89936.734747933864</v>
      </c>
      <c r="G18" s="58">
        <f>-FV($H$5,1,-C18,B18)</f>
        <v>5459113.4627645491</v>
      </c>
      <c r="H18" s="58">
        <f>G18</f>
        <v>5459113.4627645491</v>
      </c>
      <c r="I18" s="59">
        <v>0.03</v>
      </c>
      <c r="J18" s="46">
        <f t="shared" ref="J18:J21" si="2">$H$10</f>
        <v>0.02</v>
      </c>
    </row>
    <row r="19" spans="1:10" x14ac:dyDescent="0.25">
      <c r="A19" s="43">
        <v>3</v>
      </c>
      <c r="B19" s="45">
        <f>H18</f>
        <v>5459113.4627645491</v>
      </c>
      <c r="C19" s="66">
        <f>-PMT(D19,$H$12-A18,B19,0)</f>
        <v>346767.2822501717</v>
      </c>
      <c r="D19" s="59">
        <f>H7+J19</f>
        <v>4.4999999999999998E-2</v>
      </c>
      <c r="E19" s="44">
        <f t="shared" si="0"/>
        <v>245660.10582440469</v>
      </c>
      <c r="F19" s="44">
        <f t="shared" si="1"/>
        <v>101107.17642576701</v>
      </c>
      <c r="G19" s="58">
        <f>-FV($H$5,1,-C19,B19)</f>
        <v>5330710.71902496</v>
      </c>
      <c r="H19" s="58">
        <f>G19</f>
        <v>5330710.71902496</v>
      </c>
      <c r="I19" s="59">
        <v>2.5000000000000001E-2</v>
      </c>
      <c r="J19" s="46">
        <f t="shared" si="2"/>
        <v>0.02</v>
      </c>
    </row>
    <row r="20" spans="1:10" x14ac:dyDescent="0.25">
      <c r="A20" s="43">
        <v>4</v>
      </c>
      <c r="B20" s="45">
        <f t="shared" ref="B20:B21" si="3">H19</f>
        <v>5330710.71902496</v>
      </c>
      <c r="C20" s="66">
        <f>-PMT(D20,$H$12-A19,B20,0)</f>
        <v>319163.15629607451</v>
      </c>
      <c r="D20" s="59">
        <f>H8+J20</f>
        <v>3.7999999999999999E-2</v>
      </c>
      <c r="E20" s="44">
        <f t="shared" si="0"/>
        <v>202567.00732294848</v>
      </c>
      <c r="F20" s="44">
        <f t="shared" si="1"/>
        <v>116596.14897312602</v>
      </c>
      <c r="G20" s="58">
        <f>-FV($H$5,1,-C20,B20)</f>
        <v>5224775.9914898844</v>
      </c>
      <c r="H20" s="58">
        <f>G20</f>
        <v>5224775.9914898844</v>
      </c>
      <c r="I20" s="59">
        <v>1.7999999999999999E-2</v>
      </c>
      <c r="J20" s="46">
        <f t="shared" si="2"/>
        <v>0.02</v>
      </c>
    </row>
    <row r="21" spans="1:10" x14ac:dyDescent="0.25">
      <c r="A21" s="24">
        <v>5</v>
      </c>
      <c r="B21" s="45">
        <f t="shared" si="3"/>
        <v>5224775.9914898844</v>
      </c>
      <c r="C21" s="66">
        <f>-PMT(D21,$H$12-A20,B21,0)</f>
        <v>326900.54731838818</v>
      </c>
      <c r="D21" s="59">
        <f>H10+J21</f>
        <v>0.04</v>
      </c>
      <c r="E21" s="44">
        <f t="shared" si="0"/>
        <v>208991.03965959538</v>
      </c>
      <c r="F21" s="44">
        <f t="shared" si="1"/>
        <v>117909.50765879281</v>
      </c>
      <c r="G21" s="58">
        <f>-FV($H$5,1,-C21,B21)</f>
        <v>5106866.4838310909</v>
      </c>
      <c r="H21" s="58">
        <f>G21</f>
        <v>5106866.4838310909</v>
      </c>
      <c r="I21" s="59">
        <v>0.02</v>
      </c>
      <c r="J21" s="46">
        <f t="shared" si="2"/>
        <v>0.02</v>
      </c>
    </row>
    <row r="22" spans="1:10" x14ac:dyDescent="0.25">
      <c r="A22" s="47"/>
      <c r="B22" s="48"/>
      <c r="C22" s="53"/>
      <c r="D22" s="49"/>
      <c r="E22" s="50"/>
      <c r="F22" s="50"/>
      <c r="G22" s="53"/>
      <c r="H22" s="48"/>
      <c r="I22" s="54"/>
    </row>
    <row r="23" spans="1:10" x14ac:dyDescent="0.25">
      <c r="A23" s="63" t="s">
        <v>104</v>
      </c>
      <c r="B23" s="48"/>
      <c r="C23" s="48"/>
      <c r="D23" s="49"/>
      <c r="E23" s="50"/>
      <c r="F23" s="50"/>
      <c r="G23" s="48"/>
      <c r="H23" s="48"/>
      <c r="I23" s="49"/>
      <c r="J23" s="60"/>
    </row>
    <row r="24" spans="1:10" x14ac:dyDescent="0.25">
      <c r="A24" s="47"/>
      <c r="B24" s="48"/>
      <c r="C24" s="48"/>
      <c r="D24" s="49"/>
      <c r="E24" s="50"/>
      <c r="F24" s="50"/>
      <c r="G24" s="48"/>
      <c r="H24" s="48"/>
      <c r="I24" s="54"/>
      <c r="J24" s="52"/>
    </row>
    <row r="25" spans="1:10" x14ac:dyDescent="0.25">
      <c r="A25" s="30" t="s">
        <v>69</v>
      </c>
    </row>
    <row r="27" spans="1:10" x14ac:dyDescent="0.25">
      <c r="A27" s="149" t="s">
        <v>85</v>
      </c>
      <c r="B27" s="149"/>
      <c r="C27" s="149"/>
      <c r="D27" s="149"/>
      <c r="E27" s="149"/>
      <c r="F27" s="149"/>
      <c r="G27" s="31"/>
      <c r="H27" s="32">
        <v>8152650</v>
      </c>
    </row>
    <row r="28" spans="1:10" x14ac:dyDescent="0.25">
      <c r="A28" s="149" t="s">
        <v>86</v>
      </c>
      <c r="B28" s="149"/>
      <c r="C28" s="149"/>
      <c r="D28" s="149"/>
      <c r="E28" s="149"/>
      <c r="F28" s="149"/>
      <c r="G28" s="149"/>
      <c r="H28" s="33">
        <v>6.5000000000000002E-2</v>
      </c>
    </row>
    <row r="29" spans="1:10" x14ac:dyDescent="0.25">
      <c r="A29" s="149" t="s">
        <v>87</v>
      </c>
      <c r="B29" s="149"/>
      <c r="C29" s="149"/>
      <c r="D29" s="149"/>
      <c r="E29" s="149"/>
      <c r="F29" s="149"/>
      <c r="G29" s="149"/>
      <c r="H29" s="33">
        <v>0.03</v>
      </c>
    </row>
    <row r="30" spans="1:10" x14ac:dyDescent="0.25">
      <c r="A30" s="149" t="s">
        <v>88</v>
      </c>
      <c r="B30" s="149"/>
      <c r="C30" s="149"/>
      <c r="D30" s="149"/>
      <c r="E30" s="149"/>
      <c r="F30" s="149"/>
      <c r="G30" s="149"/>
      <c r="H30" s="33">
        <v>2.5000000000000001E-2</v>
      </c>
    </row>
    <row r="31" spans="1:10" x14ac:dyDescent="0.25">
      <c r="A31" s="149" t="s">
        <v>89</v>
      </c>
      <c r="B31" s="149"/>
      <c r="C31" s="149"/>
      <c r="D31" s="149"/>
      <c r="E31" s="149"/>
      <c r="F31" s="149"/>
      <c r="G31" s="149"/>
      <c r="H31" s="33">
        <v>1.7999999999999999E-2</v>
      </c>
    </row>
    <row r="32" spans="1:10" x14ac:dyDescent="0.25">
      <c r="A32" s="149" t="s">
        <v>90</v>
      </c>
      <c r="B32" s="149"/>
      <c r="C32" s="149"/>
      <c r="D32" s="149"/>
      <c r="E32" s="149"/>
      <c r="F32" s="149"/>
      <c r="G32" s="149"/>
      <c r="H32" s="33">
        <v>2.3E-2</v>
      </c>
    </row>
    <row r="33" spans="1:13" x14ac:dyDescent="0.25">
      <c r="A33" s="34" t="s">
        <v>57</v>
      </c>
      <c r="B33" s="34"/>
      <c r="C33" s="34"/>
      <c r="D33" s="34"/>
      <c r="E33" s="34"/>
      <c r="F33" s="34"/>
      <c r="G33" s="34"/>
      <c r="H33" s="33">
        <v>0.02</v>
      </c>
    </row>
    <row r="34" spans="1:13" x14ac:dyDescent="0.25">
      <c r="A34" s="34" t="s">
        <v>99</v>
      </c>
      <c r="B34" s="34"/>
      <c r="C34" s="34"/>
      <c r="D34" s="34"/>
      <c r="E34" s="34"/>
      <c r="F34" s="34"/>
      <c r="G34" s="34"/>
      <c r="H34" s="33">
        <v>0.03</v>
      </c>
    </row>
    <row r="35" spans="1:13" x14ac:dyDescent="0.25">
      <c r="A35" s="34" t="s">
        <v>63</v>
      </c>
      <c r="B35" s="34"/>
      <c r="C35" s="34"/>
      <c r="D35" s="34"/>
      <c r="E35" s="34"/>
      <c r="F35" s="34"/>
      <c r="G35" s="34"/>
      <c r="H35" s="33">
        <v>0.03</v>
      </c>
    </row>
    <row r="36" spans="1:13" x14ac:dyDescent="0.25">
      <c r="A36" s="149" t="s">
        <v>92</v>
      </c>
      <c r="B36" s="149"/>
      <c r="C36" s="149"/>
      <c r="D36" s="149"/>
      <c r="E36" s="149"/>
      <c r="F36" s="149"/>
      <c r="G36" s="149"/>
      <c r="H36" s="31">
        <v>30</v>
      </c>
    </row>
    <row r="37" spans="1:13" x14ac:dyDescent="0.25">
      <c r="B37" s="35"/>
    </row>
    <row r="38" spans="1:13" ht="15.75" thickBot="1" x14ac:dyDescent="0.3">
      <c r="B38" s="52"/>
      <c r="E38" s="62" t="s">
        <v>102</v>
      </c>
    </row>
    <row r="39" spans="1:13" x14ac:dyDescent="0.25">
      <c r="A39" s="36" t="s">
        <v>66</v>
      </c>
      <c r="B39" s="37" t="s">
        <v>93</v>
      </c>
      <c r="C39" s="37" t="s">
        <v>94</v>
      </c>
      <c r="D39" s="37" t="s">
        <v>67</v>
      </c>
      <c r="E39" s="38" t="s">
        <v>95</v>
      </c>
      <c r="F39" s="38" t="s">
        <v>96</v>
      </c>
      <c r="G39" s="39" t="s">
        <v>97</v>
      </c>
      <c r="H39" s="37" t="s">
        <v>98</v>
      </c>
      <c r="I39" s="37" t="s">
        <v>71</v>
      </c>
      <c r="J39" s="37" t="s">
        <v>57</v>
      </c>
      <c r="K39" s="37" t="s">
        <v>99</v>
      </c>
    </row>
    <row r="40" spans="1:13" x14ac:dyDescent="0.25">
      <c r="A40" s="40">
        <v>0</v>
      </c>
      <c r="B40" s="41"/>
      <c r="C40" s="41"/>
      <c r="D40" s="41"/>
      <c r="E40" s="42"/>
      <c r="F40" s="42"/>
      <c r="G40" s="41"/>
      <c r="H40" s="41"/>
      <c r="I40" s="41"/>
      <c r="J40" s="24"/>
      <c r="K40" s="24"/>
    </row>
    <row r="41" spans="1:13" x14ac:dyDescent="0.25">
      <c r="A41" s="43">
        <v>1</v>
      </c>
      <c r="B41" s="61">
        <f>70%*H27</f>
        <v>5706855</v>
      </c>
      <c r="C41" s="45">
        <v>0</v>
      </c>
      <c r="D41" s="46">
        <f>$H$28</f>
        <v>6.5000000000000002E-2</v>
      </c>
      <c r="E41" s="61">
        <f>$B$41*$D$41</f>
        <v>370945.57500000001</v>
      </c>
      <c r="F41" s="44">
        <v>0</v>
      </c>
      <c r="G41" s="45">
        <f>-FV($H$5,1,-C41,B41)</f>
        <v>5935129.2000000002</v>
      </c>
      <c r="H41" s="45">
        <f>G41</f>
        <v>5935129.2000000002</v>
      </c>
      <c r="I41" s="46">
        <v>0</v>
      </c>
      <c r="J41" s="46">
        <f>$H$10</f>
        <v>0.02</v>
      </c>
      <c r="K41" s="59">
        <f>$H$34</f>
        <v>0.03</v>
      </c>
    </row>
    <row r="42" spans="1:13" x14ac:dyDescent="0.25">
      <c r="A42" s="43">
        <v>2</v>
      </c>
      <c r="B42" s="45">
        <f>H41</f>
        <v>5935129.2000000002</v>
      </c>
      <c r="C42" s="45">
        <v>0</v>
      </c>
      <c r="D42" s="46">
        <f t="shared" ref="D42:D43" si="4">$H$28</f>
        <v>6.5000000000000002E-2</v>
      </c>
      <c r="E42" s="61">
        <f t="shared" ref="E42:E43" si="5">$B$41*$D$41</f>
        <v>370945.57500000001</v>
      </c>
      <c r="F42" s="44">
        <v>0</v>
      </c>
      <c r="G42" s="45">
        <f>-FV($H$5,1,-C42,B42)</f>
        <v>6172534.3680000007</v>
      </c>
      <c r="H42" s="45">
        <f>G42</f>
        <v>6172534.3680000007</v>
      </c>
      <c r="I42" s="46">
        <v>0.03</v>
      </c>
      <c r="J42" s="46">
        <f t="shared" ref="J42:J45" si="6">$H$10</f>
        <v>0.02</v>
      </c>
      <c r="K42" s="59">
        <f t="shared" ref="K42:K45" si="7">$H$34</f>
        <v>0.03</v>
      </c>
    </row>
    <row r="43" spans="1:13" x14ac:dyDescent="0.25">
      <c r="A43" s="43">
        <v>3</v>
      </c>
      <c r="B43" s="45">
        <f>H42</f>
        <v>6172534.3680000007</v>
      </c>
      <c r="C43" s="45">
        <v>0</v>
      </c>
      <c r="D43" s="46">
        <f t="shared" si="4"/>
        <v>6.5000000000000002E-2</v>
      </c>
      <c r="E43" s="61">
        <f t="shared" si="5"/>
        <v>370945.57500000001</v>
      </c>
      <c r="F43" s="44">
        <v>0</v>
      </c>
      <c r="G43" s="45">
        <f>-FV($H$5,1,-C43,B43)</f>
        <v>6419435.7427200014</v>
      </c>
      <c r="H43" s="45">
        <f>G43</f>
        <v>6419435.7427200014</v>
      </c>
      <c r="I43" s="46">
        <v>2.5000000000000001E-2</v>
      </c>
      <c r="J43" s="46">
        <f t="shared" si="6"/>
        <v>0.02</v>
      </c>
      <c r="K43" s="59">
        <f t="shared" si="7"/>
        <v>0.03</v>
      </c>
    </row>
    <row r="44" spans="1:13" x14ac:dyDescent="0.25">
      <c r="A44" s="43">
        <v>4</v>
      </c>
      <c r="B44" s="45">
        <f t="shared" ref="B44:B45" si="8">H43</f>
        <v>6419435.7427200014</v>
      </c>
      <c r="C44" s="45">
        <f>-PMT($H$28,$H$36-A43,B44,0)</f>
        <v>510492.00281563454</v>
      </c>
      <c r="D44" s="59">
        <f>I44+J44</f>
        <v>3.7999999999999999E-2</v>
      </c>
      <c r="E44" s="44">
        <f>B44*D44</f>
        <v>243938.55822336004</v>
      </c>
      <c r="F44" s="44">
        <f t="shared" ref="F44:F45" si="9">C44-E44</f>
        <v>266553.44459227449</v>
      </c>
      <c r="G44" s="45">
        <f>-FV($H$5,1,-C44,B44)</f>
        <v>6165721.1696131667</v>
      </c>
      <c r="H44" s="45">
        <f>B44-F44</f>
        <v>6152882.2981277267</v>
      </c>
      <c r="I44" s="46">
        <v>1.7999999999999999E-2</v>
      </c>
      <c r="J44" s="46">
        <f t="shared" si="6"/>
        <v>0.02</v>
      </c>
      <c r="K44" s="59">
        <f t="shared" si="7"/>
        <v>0.03</v>
      </c>
    </row>
    <row r="45" spans="1:13" x14ac:dyDescent="0.25">
      <c r="A45" s="24">
        <v>5</v>
      </c>
      <c r="B45" s="45">
        <f t="shared" si="8"/>
        <v>6152882.2981277267</v>
      </c>
      <c r="C45" s="45">
        <f>-PMT($H$28,$H$36-A44,B45,0)</f>
        <v>496505.59586341144</v>
      </c>
      <c r="D45" s="59">
        <f>I45+J45</f>
        <v>0.04</v>
      </c>
      <c r="E45" s="44">
        <f t="shared" ref="E45" si="10">B45*D45</f>
        <v>246115.29192510908</v>
      </c>
      <c r="F45" s="44">
        <f t="shared" si="9"/>
        <v>250390.30393830236</v>
      </c>
      <c r="G45" s="45">
        <f>-FV($H$5,1,-C45,B45)</f>
        <v>5902491.9941894235</v>
      </c>
      <c r="H45" s="45">
        <f>B45-F45</f>
        <v>5902491.9941894244</v>
      </c>
      <c r="I45" s="46">
        <v>0.02</v>
      </c>
      <c r="J45" s="46">
        <f t="shared" si="6"/>
        <v>0.02</v>
      </c>
      <c r="K45" s="59">
        <f t="shared" si="7"/>
        <v>0.03</v>
      </c>
      <c r="M45" s="52" t="s">
        <v>103</v>
      </c>
    </row>
    <row r="46" spans="1:13" x14ac:dyDescent="0.25">
      <c r="A46" s="47"/>
      <c r="B46" s="48"/>
      <c r="C46" s="48"/>
      <c r="D46" s="54"/>
      <c r="E46" s="50"/>
      <c r="F46" s="55"/>
      <c r="G46" s="48"/>
      <c r="H46" s="48"/>
      <c r="I46" s="49"/>
      <c r="L46" s="52"/>
    </row>
    <row r="47" spans="1:13" x14ac:dyDescent="0.25">
      <c r="A47" s="63" t="s">
        <v>104</v>
      </c>
      <c r="B47" s="48"/>
      <c r="C47" s="48"/>
      <c r="D47" s="54"/>
      <c r="E47" s="50"/>
      <c r="F47" s="50"/>
      <c r="G47" s="48"/>
      <c r="H47" s="48"/>
      <c r="I47" s="49"/>
    </row>
    <row r="49" spans="1:12" x14ac:dyDescent="0.25">
      <c r="A49" s="30" t="s">
        <v>70</v>
      </c>
    </row>
    <row r="51" spans="1:12" x14ac:dyDescent="0.25">
      <c r="A51" s="149" t="s">
        <v>85</v>
      </c>
      <c r="B51" s="149"/>
      <c r="C51" s="149"/>
      <c r="D51" s="149"/>
      <c r="E51" s="149"/>
      <c r="F51" s="149"/>
      <c r="G51" s="31"/>
      <c r="H51" s="32">
        <v>8152650</v>
      </c>
    </row>
    <row r="52" spans="1:12" x14ac:dyDescent="0.25">
      <c r="A52" s="149" t="s">
        <v>86</v>
      </c>
      <c r="B52" s="149"/>
      <c r="C52" s="149"/>
      <c r="D52" s="149"/>
      <c r="E52" s="149"/>
      <c r="F52" s="149"/>
      <c r="G52" s="149"/>
      <c r="H52" s="33">
        <v>5.5E-2</v>
      </c>
      <c r="J52" s="22"/>
    </row>
    <row r="53" spans="1:12" x14ac:dyDescent="0.25">
      <c r="A53" s="149" t="s">
        <v>87</v>
      </c>
      <c r="B53" s="149"/>
      <c r="C53" s="149"/>
      <c r="D53" s="149"/>
      <c r="E53" s="149"/>
      <c r="F53" s="149"/>
      <c r="G53" s="149"/>
      <c r="H53" s="33">
        <v>0.03</v>
      </c>
    </row>
    <row r="54" spans="1:12" x14ac:dyDescent="0.25">
      <c r="A54" s="149" t="s">
        <v>88</v>
      </c>
      <c r="B54" s="149"/>
      <c r="C54" s="149"/>
      <c r="D54" s="149"/>
      <c r="E54" s="149"/>
      <c r="F54" s="149"/>
      <c r="G54" s="149"/>
      <c r="H54" s="33">
        <v>2.5000000000000001E-2</v>
      </c>
      <c r="J54" s="22"/>
    </row>
    <row r="55" spans="1:12" x14ac:dyDescent="0.25">
      <c r="A55" s="149" t="s">
        <v>89</v>
      </c>
      <c r="B55" s="149"/>
      <c r="C55" s="149"/>
      <c r="D55" s="149"/>
      <c r="E55" s="149"/>
      <c r="F55" s="149"/>
      <c r="G55" s="149"/>
      <c r="H55" s="33">
        <v>1.7999999999999999E-2</v>
      </c>
    </row>
    <row r="56" spans="1:12" x14ac:dyDescent="0.25">
      <c r="A56" s="149" t="s">
        <v>90</v>
      </c>
      <c r="B56" s="149"/>
      <c r="C56" s="149"/>
      <c r="D56" s="149"/>
      <c r="E56" s="149"/>
      <c r="F56" s="149"/>
      <c r="G56" s="149"/>
      <c r="H56" s="33">
        <v>2.3E-2</v>
      </c>
    </row>
    <row r="57" spans="1:12" x14ac:dyDescent="0.25">
      <c r="A57" s="34" t="s">
        <v>57</v>
      </c>
      <c r="B57" s="34"/>
      <c r="C57" s="34"/>
      <c r="D57" s="34"/>
      <c r="E57" s="34"/>
      <c r="F57" s="34"/>
      <c r="G57" s="34"/>
      <c r="H57" s="33">
        <v>0.02</v>
      </c>
    </row>
    <row r="58" spans="1:12" x14ac:dyDescent="0.25">
      <c r="A58" s="34" t="s">
        <v>91</v>
      </c>
      <c r="B58" s="34"/>
      <c r="C58" s="34"/>
      <c r="D58" s="34"/>
      <c r="E58" s="34"/>
      <c r="F58" s="34"/>
      <c r="G58" s="34"/>
      <c r="H58" s="33">
        <v>0.02</v>
      </c>
    </row>
    <row r="59" spans="1:12" x14ac:dyDescent="0.25">
      <c r="A59" s="34" t="s">
        <v>99</v>
      </c>
      <c r="B59" s="34"/>
      <c r="C59" s="34"/>
      <c r="D59" s="34"/>
      <c r="E59" s="34"/>
      <c r="F59" s="34"/>
      <c r="G59" s="34"/>
      <c r="H59" s="33">
        <v>0.05</v>
      </c>
    </row>
    <row r="60" spans="1:12" x14ac:dyDescent="0.25">
      <c r="A60" s="34" t="s">
        <v>63</v>
      </c>
      <c r="B60" s="34"/>
      <c r="C60" s="34"/>
      <c r="D60" s="34"/>
      <c r="E60" s="34"/>
      <c r="F60" s="34"/>
      <c r="G60" s="34"/>
      <c r="H60" s="33">
        <v>0.03</v>
      </c>
    </row>
    <row r="61" spans="1:12" x14ac:dyDescent="0.25">
      <c r="A61" s="149" t="s">
        <v>92</v>
      </c>
      <c r="B61" s="149"/>
      <c r="C61" s="149"/>
      <c r="D61" s="149"/>
      <c r="E61" s="149"/>
      <c r="F61" s="149"/>
      <c r="G61" s="149"/>
      <c r="H61" s="31">
        <v>30</v>
      </c>
    </row>
    <row r="62" spans="1:12" x14ac:dyDescent="0.25">
      <c r="B62" s="35"/>
    </row>
    <row r="63" spans="1:12" ht="15.75" thickBot="1" x14ac:dyDescent="0.3">
      <c r="B63" s="52"/>
      <c r="G63" s="29"/>
    </row>
    <row r="64" spans="1:12" x14ac:dyDescent="0.25">
      <c r="A64" s="36" t="s">
        <v>66</v>
      </c>
      <c r="B64" s="37" t="s">
        <v>93</v>
      </c>
      <c r="C64" s="37" t="s">
        <v>94</v>
      </c>
      <c r="D64" s="37" t="s">
        <v>101</v>
      </c>
      <c r="E64" s="38" t="s">
        <v>95</v>
      </c>
      <c r="F64" s="38" t="s">
        <v>100</v>
      </c>
      <c r="G64" s="38" t="s">
        <v>105</v>
      </c>
      <c r="H64" s="38" t="s">
        <v>106</v>
      </c>
      <c r="I64" s="39" t="s">
        <v>68</v>
      </c>
      <c r="J64" s="37" t="s">
        <v>98</v>
      </c>
      <c r="K64" s="37" t="s">
        <v>71</v>
      </c>
      <c r="L64" s="37" t="s">
        <v>57</v>
      </c>
    </row>
    <row r="65" spans="1:14" x14ac:dyDescent="0.25">
      <c r="A65" s="40">
        <v>0</v>
      </c>
      <c r="B65" s="41"/>
      <c r="C65" s="65"/>
      <c r="D65" s="51"/>
      <c r="E65" s="42"/>
      <c r="F65" s="42"/>
      <c r="G65" s="42"/>
      <c r="H65" s="42"/>
      <c r="I65" s="41"/>
      <c r="J65" s="41"/>
      <c r="K65" s="41"/>
      <c r="L65" s="24"/>
    </row>
    <row r="66" spans="1:14" x14ac:dyDescent="0.25">
      <c r="A66" s="43">
        <v>1</v>
      </c>
      <c r="B66" s="64">
        <f>70%*H51</f>
        <v>5706855</v>
      </c>
      <c r="C66" s="66">
        <f>PMT($D$66,$H$61,$B$66,0)</f>
        <v>-392662.38211877272</v>
      </c>
      <c r="D66" s="46">
        <f>$H$52</f>
        <v>5.5E-2</v>
      </c>
      <c r="E66" s="28">
        <f>-(B66*D66)</f>
        <v>-313877.02500000002</v>
      </c>
      <c r="F66" s="28">
        <f>C66-E66</f>
        <v>-78785.357118772692</v>
      </c>
      <c r="G66" s="28">
        <f>C66*105%</f>
        <v>-412295.50122471136</v>
      </c>
      <c r="H66" s="28">
        <f>G66-E66</f>
        <v>-98418.476224711339</v>
      </c>
      <c r="I66" s="28">
        <f>B66+H66</f>
        <v>5608436.5237752888</v>
      </c>
      <c r="J66" s="28">
        <f>I66*(1+K66)</f>
        <v>5608436.5237752888</v>
      </c>
      <c r="K66" s="46">
        <v>0</v>
      </c>
      <c r="L66" s="46">
        <f>$H$57</f>
        <v>0.02</v>
      </c>
    </row>
    <row r="67" spans="1:14" x14ac:dyDescent="0.25">
      <c r="A67" s="43">
        <v>2</v>
      </c>
      <c r="B67" s="28">
        <f>J66</f>
        <v>5608436.5237752888</v>
      </c>
      <c r="C67" s="66">
        <f>PMT(D67,$H$61,$B$66,0)</f>
        <v>-371239.10754505184</v>
      </c>
      <c r="D67" s="46">
        <f>K67+L67</f>
        <v>0.05</v>
      </c>
      <c r="E67" s="28">
        <f t="shared" ref="E67:E70" si="11">-(B67*D67)</f>
        <v>-280421.82618876448</v>
      </c>
      <c r="F67" s="28">
        <f t="shared" ref="F67:F70" si="12">C67-E67</f>
        <v>-90817.281356287363</v>
      </c>
      <c r="G67" s="28">
        <f t="shared" ref="G67:G70" si="13">C67*105%</f>
        <v>-389801.06292230444</v>
      </c>
      <c r="H67" s="28">
        <f>G67-E67</f>
        <v>-109379.23673353996</v>
      </c>
      <c r="I67" s="28">
        <f t="shared" ref="I67:I70" si="14">B67+H67</f>
        <v>5499057.2870417489</v>
      </c>
      <c r="J67" s="28">
        <f>I67</f>
        <v>5499057.2870417489</v>
      </c>
      <c r="K67" s="46">
        <f>H53</f>
        <v>0.03</v>
      </c>
      <c r="L67" s="46">
        <f t="shared" ref="L67:L70" si="15">$H$57</f>
        <v>0.02</v>
      </c>
    </row>
    <row r="68" spans="1:14" x14ac:dyDescent="0.25">
      <c r="A68" s="43">
        <v>3</v>
      </c>
      <c r="B68" s="28">
        <f>J67</f>
        <v>5499057.2870417489</v>
      </c>
      <c r="C68" s="66">
        <f>PMT(D68,$H$61,$B$66,0)</f>
        <v>-350352.63360561937</v>
      </c>
      <c r="D68" s="46">
        <f>K68+L68</f>
        <v>4.4999999999999998E-2</v>
      </c>
      <c r="E68" s="28">
        <f t="shared" si="11"/>
        <v>-247457.57791687868</v>
      </c>
      <c r="F68" s="28">
        <f t="shared" si="12"/>
        <v>-102895.05568874069</v>
      </c>
      <c r="G68" s="28">
        <f t="shared" si="13"/>
        <v>-367870.26528590033</v>
      </c>
      <c r="H68" s="28">
        <f t="shared" ref="H68:H70" si="16">G68-E68</f>
        <v>-120412.68736902165</v>
      </c>
      <c r="I68" s="28">
        <f t="shared" si="14"/>
        <v>5378644.5996727273</v>
      </c>
      <c r="J68" s="28">
        <f>I68</f>
        <v>5378644.5996727273</v>
      </c>
      <c r="K68" s="46">
        <f>H54</f>
        <v>2.5000000000000001E-2</v>
      </c>
      <c r="L68" s="46">
        <f t="shared" si="15"/>
        <v>0.02</v>
      </c>
      <c r="N68" s="52" t="str">
        <f>M45</f>
        <v>Effective interest rate?</v>
      </c>
    </row>
    <row r="69" spans="1:14" x14ac:dyDescent="0.25">
      <c r="A69" s="43">
        <v>4</v>
      </c>
      <c r="B69" s="28">
        <f t="shared" ref="B69:B70" si="17">J68</f>
        <v>5378644.5996727273</v>
      </c>
      <c r="C69" s="66">
        <f>PMT(D69,$H$61,$B$66,0)</f>
        <v>-322060.88721241435</v>
      </c>
      <c r="D69" s="46">
        <f>K69+L69</f>
        <v>3.7999999999999999E-2</v>
      </c>
      <c r="E69" s="28">
        <f t="shared" si="11"/>
        <v>-204388.49478756363</v>
      </c>
      <c r="F69" s="28">
        <f t="shared" si="12"/>
        <v>-117672.39242485072</v>
      </c>
      <c r="G69" s="28">
        <f t="shared" si="13"/>
        <v>-338163.93157303508</v>
      </c>
      <c r="H69" s="28">
        <f t="shared" si="16"/>
        <v>-133775.43678547145</v>
      </c>
      <c r="I69" s="28">
        <f t="shared" si="14"/>
        <v>5244869.1628872557</v>
      </c>
      <c r="J69" s="28">
        <f>I69</f>
        <v>5244869.1628872557</v>
      </c>
      <c r="K69" s="46">
        <f>H55</f>
        <v>1.7999999999999999E-2</v>
      </c>
      <c r="L69" s="46">
        <f t="shared" si="15"/>
        <v>0.02</v>
      </c>
    </row>
    <row r="70" spans="1:14" x14ac:dyDescent="0.25">
      <c r="A70" s="24">
        <v>5</v>
      </c>
      <c r="B70" s="28">
        <f t="shared" si="17"/>
        <v>5244869.1628872557</v>
      </c>
      <c r="C70" s="66">
        <f>PMT(D70,$H$61,$B$66,0)</f>
        <v>-342153.98219155858</v>
      </c>
      <c r="D70" s="46">
        <f>K70+L70</f>
        <v>4.2999999999999997E-2</v>
      </c>
      <c r="E70" s="28">
        <f t="shared" si="11"/>
        <v>-225529.37400415196</v>
      </c>
      <c r="F70" s="28">
        <f t="shared" si="12"/>
        <v>-116624.60818740661</v>
      </c>
      <c r="G70" s="28">
        <f t="shared" si="13"/>
        <v>-359261.6813011365</v>
      </c>
      <c r="H70" s="28">
        <f t="shared" si="16"/>
        <v>-133732.30729698454</v>
      </c>
      <c r="I70" s="28">
        <f t="shared" si="14"/>
        <v>5111136.8555902708</v>
      </c>
      <c r="J70" s="28">
        <f>I70</f>
        <v>5111136.8555902708</v>
      </c>
      <c r="K70" s="46">
        <f>H56</f>
        <v>2.3E-2</v>
      </c>
      <c r="L70" s="46">
        <f t="shared" si="15"/>
        <v>0.02</v>
      </c>
    </row>
    <row r="71" spans="1:14" x14ac:dyDescent="0.25">
      <c r="A71" s="47"/>
      <c r="B71" s="48"/>
      <c r="C71" s="53"/>
      <c r="D71" s="49"/>
      <c r="E71" s="50"/>
      <c r="F71" s="55"/>
      <c r="G71" s="48"/>
      <c r="H71" s="48"/>
      <c r="I71" s="49"/>
    </row>
    <row r="72" spans="1:14" x14ac:dyDescent="0.25">
      <c r="A72" s="63" t="s">
        <v>104</v>
      </c>
      <c r="B72" s="48"/>
      <c r="C72" s="48"/>
      <c r="D72" s="49"/>
      <c r="E72" s="50"/>
      <c r="F72" s="55"/>
      <c r="G72" s="48"/>
      <c r="H72" s="48"/>
      <c r="I72" s="49"/>
    </row>
    <row r="73" spans="1:14" x14ac:dyDescent="0.25">
      <c r="A73" s="47"/>
      <c r="B73" s="67"/>
      <c r="C73" s="48"/>
      <c r="D73" s="49"/>
      <c r="E73" s="50"/>
      <c r="F73" s="55"/>
      <c r="G73" s="48"/>
      <c r="H73" s="48"/>
      <c r="I73" s="49"/>
    </row>
    <row r="74" spans="1:14" s="73" customFormat="1" x14ac:dyDescent="0.25">
      <c r="A74" s="68"/>
      <c r="B74" s="69"/>
      <c r="C74" s="69"/>
      <c r="D74" s="70"/>
      <c r="E74" s="71"/>
      <c r="F74" s="72"/>
      <c r="G74" s="69"/>
      <c r="H74" s="69"/>
      <c r="I74" s="70"/>
    </row>
    <row r="75" spans="1:14" x14ac:dyDescent="0.25">
      <c r="A75" s="47"/>
      <c r="B75" s="48"/>
      <c r="C75" s="48"/>
      <c r="D75" s="49"/>
      <c r="E75" s="50"/>
      <c r="F75" s="55"/>
      <c r="G75" s="48"/>
      <c r="H75" s="48"/>
      <c r="I75" s="49"/>
    </row>
    <row r="76" spans="1:14" x14ac:dyDescent="0.25">
      <c r="A76" s="47"/>
      <c r="B76" s="48"/>
      <c r="C76" s="48"/>
      <c r="D76" s="49"/>
      <c r="E76" s="50"/>
      <c r="F76" s="55"/>
      <c r="G76" s="48"/>
      <c r="H76" s="48"/>
      <c r="I76" s="49"/>
    </row>
    <row r="77" spans="1:14" x14ac:dyDescent="0.25">
      <c r="A77" s="47"/>
      <c r="B77" s="48"/>
      <c r="C77" s="48"/>
      <c r="D77" s="49"/>
      <c r="E77" s="50"/>
      <c r="F77" s="55"/>
      <c r="G77" s="48"/>
      <c r="H77" s="48"/>
      <c r="I77" s="49"/>
    </row>
    <row r="82" spans="2:3" x14ac:dyDescent="0.25">
      <c r="C82" s="52"/>
    </row>
    <row r="83" spans="2:3" x14ac:dyDescent="0.25">
      <c r="B83" s="52"/>
      <c r="C83" s="52"/>
    </row>
    <row r="84" spans="2:3" x14ac:dyDescent="0.25">
      <c r="C84" s="52"/>
    </row>
  </sheetData>
  <mergeCells count="21">
    <mergeCell ref="A55:G55"/>
    <mergeCell ref="A56:G56"/>
    <mergeCell ref="A61:G61"/>
    <mergeCell ref="A32:G32"/>
    <mergeCell ref="A36:G36"/>
    <mergeCell ref="A51:F51"/>
    <mergeCell ref="A52:G52"/>
    <mergeCell ref="A53:G53"/>
    <mergeCell ref="A54:G54"/>
    <mergeCell ref="A31:G31"/>
    <mergeCell ref="A4:F4"/>
    <mergeCell ref="A5:G5"/>
    <mergeCell ref="A6:G6"/>
    <mergeCell ref="A7:G7"/>
    <mergeCell ref="A8:G8"/>
    <mergeCell ref="A9:G9"/>
    <mergeCell ref="A12:G12"/>
    <mergeCell ref="A27:F27"/>
    <mergeCell ref="A28:G28"/>
    <mergeCell ref="A29:G29"/>
    <mergeCell ref="A30:G30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I20" sqref="I20"/>
    </sheetView>
  </sheetViews>
  <sheetFormatPr defaultColWidth="8.85546875" defaultRowHeight="15" x14ac:dyDescent="0.25"/>
  <cols>
    <col min="1" max="1" width="19.140625" bestFit="1" customWidth="1"/>
    <col min="2" max="2" width="18.85546875" bestFit="1" customWidth="1"/>
    <col min="3" max="3" width="18.28515625" bestFit="1" customWidth="1"/>
    <col min="4" max="4" width="19.28515625" customWidth="1"/>
    <col min="5" max="5" width="24.140625" customWidth="1"/>
    <col min="6" max="6" width="14.85546875" customWidth="1"/>
    <col min="7" max="7" width="14.140625" customWidth="1"/>
  </cols>
  <sheetData>
    <row r="1" spans="1:8" x14ac:dyDescent="0.25">
      <c r="C1" s="21"/>
    </row>
    <row r="2" spans="1:8" x14ac:dyDescent="0.25">
      <c r="A2" t="s">
        <v>73</v>
      </c>
      <c r="C2" s="21">
        <f>Info!B10</f>
        <v>8315703</v>
      </c>
      <c r="E2" t="s">
        <v>74</v>
      </c>
      <c r="G2" s="21">
        <v>450000</v>
      </c>
      <c r="H2" t="s">
        <v>84</v>
      </c>
    </row>
    <row r="3" spans="1:8" x14ac:dyDescent="0.25">
      <c r="A3" t="s">
        <v>75</v>
      </c>
      <c r="C3" s="21">
        <f>C2*0.65</f>
        <v>5405206.9500000002</v>
      </c>
      <c r="E3" t="s">
        <v>76</v>
      </c>
      <c r="G3" s="21">
        <f>G2/39</f>
        <v>11538.461538461539</v>
      </c>
    </row>
    <row r="4" spans="1:8" x14ac:dyDescent="0.25">
      <c r="A4" t="s">
        <v>76</v>
      </c>
      <c r="C4" s="21">
        <f>C3/39</f>
        <v>138595.05000000002</v>
      </c>
    </row>
    <row r="5" spans="1:8" x14ac:dyDescent="0.25">
      <c r="C5" s="21"/>
    </row>
    <row r="6" spans="1:8" ht="45" x14ac:dyDescent="0.25">
      <c r="A6" s="24" t="s">
        <v>77</v>
      </c>
      <c r="B6" s="24" t="s">
        <v>78</v>
      </c>
      <c r="C6" s="25" t="s">
        <v>79</v>
      </c>
      <c r="D6" s="24" t="s">
        <v>80</v>
      </c>
      <c r="E6" s="26" t="s">
        <v>81</v>
      </c>
      <c r="F6" s="27" t="s">
        <v>82</v>
      </c>
      <c r="G6" s="27" t="s">
        <v>83</v>
      </c>
    </row>
    <row r="7" spans="1:8" x14ac:dyDescent="0.25">
      <c r="A7" s="24">
        <v>1</v>
      </c>
      <c r="B7" s="28">
        <f>C2-(C4/2)</f>
        <v>8246405.4749999996</v>
      </c>
      <c r="C7" s="25"/>
      <c r="D7" s="28">
        <f>B7</f>
        <v>8246405.4749999996</v>
      </c>
      <c r="E7" s="24"/>
      <c r="F7" s="24"/>
      <c r="G7" s="24"/>
    </row>
    <row r="8" spans="1:8" x14ac:dyDescent="0.25">
      <c r="A8" s="24">
        <v>2</v>
      </c>
      <c r="B8" s="28">
        <f>B7-$C$4</f>
        <v>8107810.4249999998</v>
      </c>
      <c r="C8" s="25"/>
      <c r="D8" s="28">
        <f>B8</f>
        <v>8107810.4249999998</v>
      </c>
      <c r="E8" s="24"/>
      <c r="F8" s="24"/>
      <c r="G8" s="24"/>
    </row>
    <row r="9" spans="1:8" x14ac:dyDescent="0.25">
      <c r="A9" s="24">
        <v>3</v>
      </c>
      <c r="B9" s="28">
        <f>B8-$C$4</f>
        <v>7969215.375</v>
      </c>
      <c r="C9" s="25"/>
      <c r="D9" s="28">
        <f>B9+C9</f>
        <v>7969215.375</v>
      </c>
      <c r="E9" s="24"/>
      <c r="F9" s="24"/>
      <c r="G9" s="24"/>
    </row>
    <row r="10" spans="1:8" x14ac:dyDescent="0.25">
      <c r="A10" s="24">
        <v>4</v>
      </c>
      <c r="B10" s="28">
        <f>B9-$C$4</f>
        <v>7830620.3250000002</v>
      </c>
      <c r="C10" s="25">
        <v>450000</v>
      </c>
      <c r="D10" s="28">
        <f>B10+C10</f>
        <v>8280620.3250000002</v>
      </c>
      <c r="E10" s="24"/>
      <c r="F10" s="24"/>
      <c r="G10" s="24"/>
    </row>
    <row r="11" spans="1:8" x14ac:dyDescent="0.25">
      <c r="A11" s="24">
        <v>5</v>
      </c>
      <c r="B11" s="28">
        <f>B10-$C$4</f>
        <v>7692025.2750000004</v>
      </c>
      <c r="C11" s="25">
        <f>C10-G3</f>
        <v>438461.53846153844</v>
      </c>
      <c r="D11" s="28">
        <f>B11+C11</f>
        <v>8130486.8134615384</v>
      </c>
      <c r="E11" s="24"/>
      <c r="F11" s="24"/>
      <c r="G11" s="24"/>
    </row>
    <row r="12" spans="1:8" x14ac:dyDescent="0.25">
      <c r="A12" s="24">
        <v>6</v>
      </c>
      <c r="B12" s="28">
        <f>B11-$C$4</f>
        <v>7553430.2250000006</v>
      </c>
      <c r="C12" s="25">
        <f>C11-G3</f>
        <v>426923.07692307688</v>
      </c>
      <c r="D12" s="28">
        <f>B12+C12</f>
        <v>7980353.3019230776</v>
      </c>
      <c r="E12" s="28">
        <f>(C2-B12)+(G2-C12)</f>
        <v>785349.69807692256</v>
      </c>
      <c r="F12" s="28">
        <f>C2-B12</f>
        <v>762272.77499999944</v>
      </c>
      <c r="G12" s="28">
        <f>G2-C12</f>
        <v>23076.923076923122</v>
      </c>
    </row>
    <row r="13" spans="1:8" x14ac:dyDescent="0.25">
      <c r="C13" s="21"/>
    </row>
    <row r="14" spans="1:8" x14ac:dyDescent="0.25">
      <c r="C14" s="21"/>
    </row>
    <row r="15" spans="1:8" x14ac:dyDescent="0.25">
      <c r="C15" s="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Views>
    <sheetView topLeftCell="A76" workbookViewId="0">
      <selection activeCell="E84" sqref="E84"/>
    </sheetView>
  </sheetViews>
  <sheetFormatPr defaultColWidth="9" defaultRowHeight="15" x14ac:dyDescent="0.25"/>
  <cols>
    <col min="1" max="1" width="91.140625" style="77" customWidth="1"/>
    <col min="2" max="2" width="14" style="77" customWidth="1"/>
    <col min="3" max="3" width="11.42578125" style="77" customWidth="1"/>
    <col min="4" max="4" width="12.28515625" style="77" customWidth="1"/>
    <col min="5" max="5" width="14" style="77" customWidth="1"/>
    <col min="6" max="256" width="9.140625" style="77" customWidth="1"/>
    <col min="257" max="16384" width="9" style="77"/>
  </cols>
  <sheetData>
    <row r="1" spans="1:5" x14ac:dyDescent="0.25">
      <c r="A1" s="115"/>
      <c r="B1" s="116"/>
      <c r="C1" s="116"/>
      <c r="D1" s="116"/>
      <c r="E1" s="115"/>
    </row>
    <row r="2" spans="1:5" x14ac:dyDescent="0.25">
      <c r="A2" s="117" t="s">
        <v>139</v>
      </c>
      <c r="B2" s="118"/>
      <c r="C2" s="116"/>
      <c r="D2" s="116"/>
      <c r="E2" s="115"/>
    </row>
    <row r="3" spans="1:5" x14ac:dyDescent="0.25">
      <c r="B3" s="116"/>
      <c r="C3" s="118"/>
      <c r="D3" s="116"/>
      <c r="E3" s="115"/>
    </row>
    <row r="4" spans="1:5" x14ac:dyDescent="0.25">
      <c r="A4" s="119" t="s">
        <v>140</v>
      </c>
      <c r="B4" s="120" t="s">
        <v>9</v>
      </c>
      <c r="C4" s="120" t="s">
        <v>13</v>
      </c>
      <c r="D4" s="120" t="s">
        <v>15</v>
      </c>
      <c r="E4" s="121" t="s">
        <v>141</v>
      </c>
    </row>
    <row r="5" spans="1:5" x14ac:dyDescent="0.25">
      <c r="A5" s="121" t="s">
        <v>142</v>
      </c>
      <c r="B5" s="120"/>
      <c r="C5" s="120"/>
      <c r="D5" s="120"/>
      <c r="E5" s="122"/>
    </row>
    <row r="6" spans="1:5" x14ac:dyDescent="0.25">
      <c r="A6" s="122" t="s">
        <v>10</v>
      </c>
      <c r="B6" s="123">
        <v>24156</v>
      </c>
      <c r="C6" s="123">
        <v>10266</v>
      </c>
      <c r="D6" s="123">
        <v>25968</v>
      </c>
      <c r="E6" s="124">
        <f>SUM(B6:D6)</f>
        <v>60390</v>
      </c>
    </row>
    <row r="7" spans="1:5" x14ac:dyDescent="0.25">
      <c r="A7" s="122" t="s">
        <v>11</v>
      </c>
      <c r="B7" s="123">
        <v>25</v>
      </c>
      <c r="C7" s="123">
        <v>23.5</v>
      </c>
      <c r="D7" s="123">
        <v>22</v>
      </c>
      <c r="E7" s="124">
        <f>SUM(B7:D7)</f>
        <v>70.5</v>
      </c>
    </row>
    <row r="8" spans="1:5" x14ac:dyDescent="0.25">
      <c r="A8" s="122" t="s">
        <v>143</v>
      </c>
      <c r="B8" s="123">
        <f>B6*B7</f>
        <v>603900</v>
      </c>
      <c r="C8" s="123">
        <f>C6*C7</f>
        <v>241251</v>
      </c>
      <c r="D8" s="123">
        <f>D6*D7</f>
        <v>571296</v>
      </c>
      <c r="E8" s="124">
        <f>SUM(B8:D8)</f>
        <v>1416447</v>
      </c>
    </row>
    <row r="9" spans="1:5" x14ac:dyDescent="0.25">
      <c r="A9" s="122"/>
      <c r="B9" s="123"/>
      <c r="C9" s="123"/>
      <c r="D9" s="123"/>
      <c r="E9" s="124"/>
    </row>
    <row r="10" spans="1:5" x14ac:dyDescent="0.25">
      <c r="A10" s="121" t="s">
        <v>144</v>
      </c>
      <c r="B10" s="123"/>
      <c r="C10" s="123"/>
      <c r="D10" s="123"/>
      <c r="E10" s="124"/>
    </row>
    <row r="11" spans="1:5" x14ac:dyDescent="0.25">
      <c r="A11" s="122" t="s">
        <v>145</v>
      </c>
      <c r="B11" s="125">
        <f>-8.5*B6*25%</f>
        <v>-51331.5</v>
      </c>
      <c r="C11" s="125">
        <f>-8.5*C6*25%</f>
        <v>-21815.25</v>
      </c>
      <c r="D11" s="125">
        <f>-8.5*D6*25%</f>
        <v>-55182</v>
      </c>
      <c r="E11" s="126">
        <f>-8.5*E6*25%</f>
        <v>-128328.75</v>
      </c>
    </row>
    <row r="12" spans="1:5" x14ac:dyDescent="0.25">
      <c r="A12" s="122" t="s">
        <v>146</v>
      </c>
      <c r="B12" s="125">
        <f>-50000</f>
        <v>-50000</v>
      </c>
      <c r="C12" s="125">
        <v>-50000</v>
      </c>
      <c r="D12" s="125">
        <v>-50000</v>
      </c>
      <c r="E12" s="124">
        <f>SUM(B12:D12)</f>
        <v>-150000</v>
      </c>
    </row>
    <row r="13" spans="1:5" x14ac:dyDescent="0.25">
      <c r="A13" s="122" t="s">
        <v>147</v>
      </c>
      <c r="B13" s="125"/>
      <c r="C13" s="125"/>
      <c r="D13" s="125"/>
      <c r="E13" s="124">
        <f>-ARM!C17</f>
        <v>-330027.99039143091</v>
      </c>
    </row>
    <row r="14" spans="1:5" x14ac:dyDescent="0.25">
      <c r="A14" s="122" t="s">
        <v>148</v>
      </c>
      <c r="B14" s="125"/>
      <c r="C14" s="125"/>
      <c r="D14" s="125"/>
      <c r="E14" s="124">
        <f>SUM(E11:E13)</f>
        <v>-608356.74039143091</v>
      </c>
    </row>
    <row r="15" spans="1:5" x14ac:dyDescent="0.25">
      <c r="A15" s="122"/>
      <c r="B15" s="125"/>
      <c r="C15" s="125"/>
      <c r="D15" s="125"/>
      <c r="E15" s="124"/>
    </row>
    <row r="16" spans="1:5" x14ac:dyDescent="0.25">
      <c r="A16" s="127" t="s">
        <v>149</v>
      </c>
      <c r="B16" s="125"/>
      <c r="C16" s="125"/>
      <c r="D16" s="125"/>
      <c r="E16" s="124">
        <f>E8+E14</f>
        <v>808090.25960856909</v>
      </c>
    </row>
    <row r="17" spans="1:10" x14ac:dyDescent="0.25">
      <c r="A17" s="128"/>
      <c r="B17" s="125"/>
      <c r="C17" s="125"/>
      <c r="D17" s="125"/>
      <c r="E17" s="124"/>
    </row>
    <row r="18" spans="1:10" x14ac:dyDescent="0.25">
      <c r="A18" s="122"/>
      <c r="B18" s="125"/>
      <c r="C18" s="125"/>
      <c r="D18" s="125"/>
      <c r="E18" s="124"/>
    </row>
    <row r="19" spans="1:10" x14ac:dyDescent="0.25">
      <c r="A19" s="128"/>
      <c r="B19" s="129"/>
      <c r="C19" s="129"/>
      <c r="D19" s="129"/>
      <c r="E19" s="130"/>
    </row>
    <row r="20" spans="1:10" x14ac:dyDescent="0.25">
      <c r="A20" s="128"/>
      <c r="B20" s="129"/>
      <c r="C20" s="129"/>
      <c r="D20" s="129"/>
      <c r="E20" s="130"/>
    </row>
    <row r="21" spans="1:10" x14ac:dyDescent="0.25">
      <c r="A21" s="119" t="s">
        <v>150</v>
      </c>
      <c r="B21" s="120" t="s">
        <v>9</v>
      </c>
      <c r="C21" s="120" t="s">
        <v>13</v>
      </c>
      <c r="D21" s="120" t="s">
        <v>15</v>
      </c>
      <c r="E21" s="121" t="s">
        <v>141</v>
      </c>
    </row>
    <row r="22" spans="1:10" x14ac:dyDescent="0.25">
      <c r="A22" s="121" t="s">
        <v>142</v>
      </c>
      <c r="B22" s="120"/>
      <c r="C22" s="120"/>
      <c r="D22" s="120"/>
      <c r="E22" s="122"/>
    </row>
    <row r="23" spans="1:10" x14ac:dyDescent="0.25">
      <c r="A23" s="122" t="s">
        <v>10</v>
      </c>
      <c r="B23" s="123">
        <v>24156</v>
      </c>
      <c r="C23" s="123">
        <v>10266</v>
      </c>
      <c r="D23" s="123">
        <v>25968</v>
      </c>
      <c r="E23" s="124">
        <f>SUM(B23:D23)</f>
        <v>60390</v>
      </c>
    </row>
    <row r="24" spans="1:10" x14ac:dyDescent="0.25">
      <c r="A24" s="122" t="s">
        <v>11</v>
      </c>
      <c r="B24" s="123">
        <v>25</v>
      </c>
      <c r="C24" s="123">
        <f>23.5*102.5%</f>
        <v>24.087499999999999</v>
      </c>
      <c r="D24" s="123">
        <f>22+2</f>
        <v>24</v>
      </c>
      <c r="E24" s="124">
        <f>SUM(B24:D24)</f>
        <v>73.087500000000006</v>
      </c>
    </row>
    <row r="25" spans="1:10" x14ac:dyDescent="0.25">
      <c r="A25" s="122" t="s">
        <v>143</v>
      </c>
      <c r="B25" s="123">
        <f>B23*B24</f>
        <v>603900</v>
      </c>
      <c r="C25" s="123">
        <f>C23*C24</f>
        <v>247282.27499999999</v>
      </c>
      <c r="D25" s="123">
        <f>D23*D24</f>
        <v>623232</v>
      </c>
      <c r="E25" s="124">
        <f>SUM(B25:D25)</f>
        <v>1474414.2749999999</v>
      </c>
    </row>
    <row r="26" spans="1:10" x14ac:dyDescent="0.25">
      <c r="A26" s="122"/>
      <c r="B26" s="123"/>
      <c r="C26" s="123"/>
      <c r="D26" s="123"/>
      <c r="E26" s="124"/>
    </row>
    <row r="27" spans="1:10" x14ac:dyDescent="0.25">
      <c r="A27" s="121" t="s">
        <v>144</v>
      </c>
      <c r="B27" s="123"/>
      <c r="C27" s="123"/>
      <c r="D27" s="123"/>
      <c r="E27" s="124"/>
    </row>
    <row r="28" spans="1:10" s="131" customFormat="1" x14ac:dyDescent="0.25">
      <c r="A28" s="122" t="s">
        <v>145</v>
      </c>
      <c r="B28" s="125">
        <f>-8.5*102.5%*25%*B23</f>
        <v>-52614.787499999991</v>
      </c>
      <c r="C28" s="125">
        <f>-8.5*102.5%*25%*C23</f>
        <v>-22360.631249999995</v>
      </c>
      <c r="D28" s="125">
        <f>-8.5*102.5%*25%*D23</f>
        <v>-56561.549999999988</v>
      </c>
      <c r="E28" s="126">
        <f>-8.5*102.5%*25%*E23</f>
        <v>-131536.96874999997</v>
      </c>
      <c r="J28" s="132"/>
    </row>
    <row r="29" spans="1:10" x14ac:dyDescent="0.25">
      <c r="A29" s="122" t="s">
        <v>146</v>
      </c>
      <c r="B29" s="125">
        <f>-50000</f>
        <v>-50000</v>
      </c>
      <c r="C29" s="125">
        <v>-50000</v>
      </c>
      <c r="D29" s="125">
        <v>-50000</v>
      </c>
      <c r="E29" s="124">
        <f>SUM(B29:D29)</f>
        <v>-150000</v>
      </c>
    </row>
    <row r="30" spans="1:10" x14ac:dyDescent="0.25">
      <c r="A30" s="122" t="s">
        <v>147</v>
      </c>
      <c r="B30" s="125"/>
      <c r="C30" s="125"/>
      <c r="D30" s="125"/>
      <c r="E30" s="124">
        <f>-ARM!C18</f>
        <v>-370191.79522836232</v>
      </c>
    </row>
    <row r="31" spans="1:10" x14ac:dyDescent="0.25">
      <c r="A31" s="122" t="s">
        <v>148</v>
      </c>
      <c r="B31" s="125"/>
      <c r="C31" s="125"/>
      <c r="D31" s="125"/>
      <c r="E31" s="124">
        <f>SUM(E28:E30)</f>
        <v>-651728.76397836232</v>
      </c>
      <c r="F31" s="133"/>
    </row>
    <row r="32" spans="1:10" x14ac:dyDescent="0.25">
      <c r="A32" s="122"/>
      <c r="B32" s="125"/>
      <c r="C32" s="125"/>
      <c r="D32" s="125"/>
      <c r="E32" s="124"/>
      <c r="F32" s="133"/>
    </row>
    <row r="33" spans="1:6" x14ac:dyDescent="0.25">
      <c r="A33" s="127" t="s">
        <v>149</v>
      </c>
      <c r="B33" s="125"/>
      <c r="C33" s="125"/>
      <c r="D33" s="125"/>
      <c r="E33" s="124">
        <f>E25+E31</f>
        <v>822685.51102163759</v>
      </c>
    </row>
    <row r="34" spans="1:6" x14ac:dyDescent="0.25">
      <c r="A34" s="128"/>
      <c r="B34" s="125"/>
      <c r="C34" s="125"/>
      <c r="D34" s="125"/>
      <c r="E34" s="124"/>
    </row>
    <row r="35" spans="1:6" x14ac:dyDescent="0.25">
      <c r="A35" s="122"/>
      <c r="B35" s="125"/>
      <c r="C35" s="125"/>
      <c r="D35" s="125"/>
      <c r="E35" s="124"/>
    </row>
    <row r="36" spans="1:6" x14ac:dyDescent="0.25">
      <c r="A36" s="128"/>
      <c r="B36" s="129"/>
      <c r="C36" s="129"/>
      <c r="D36" s="129"/>
      <c r="E36" s="130"/>
    </row>
    <row r="37" spans="1:6" x14ac:dyDescent="0.25">
      <c r="A37" s="128"/>
      <c r="B37" s="129"/>
      <c r="C37" s="129"/>
      <c r="D37" s="129"/>
      <c r="E37" s="130"/>
    </row>
    <row r="38" spans="1:6" x14ac:dyDescent="0.25">
      <c r="A38" s="119" t="s">
        <v>151</v>
      </c>
      <c r="B38" s="120" t="s">
        <v>9</v>
      </c>
      <c r="C38" s="120" t="s">
        <v>13</v>
      </c>
      <c r="D38" s="120" t="s">
        <v>15</v>
      </c>
      <c r="E38" s="121" t="s">
        <v>141</v>
      </c>
    </row>
    <row r="39" spans="1:6" x14ac:dyDescent="0.25">
      <c r="A39" s="121" t="s">
        <v>142</v>
      </c>
      <c r="B39" s="120"/>
      <c r="C39" s="120"/>
      <c r="D39" s="120"/>
      <c r="E39" s="122"/>
    </row>
    <row r="40" spans="1:6" x14ac:dyDescent="0.25">
      <c r="A40" s="122" t="s">
        <v>10</v>
      </c>
      <c r="B40" s="123">
        <v>24156</v>
      </c>
      <c r="C40" s="123">
        <v>10266</v>
      </c>
      <c r="D40" s="123">
        <v>25968</v>
      </c>
      <c r="E40" s="124">
        <f>SUM(B40:D40)</f>
        <v>60390</v>
      </c>
    </row>
    <row r="41" spans="1:6" x14ac:dyDescent="0.25">
      <c r="A41" s="122" t="s">
        <v>11</v>
      </c>
      <c r="B41" s="123">
        <f>'[1]Rent Market Project'!B5</f>
        <v>18.391693749999998</v>
      </c>
      <c r="C41" s="123">
        <f>23.5*((102.5%)^2)</f>
        <v>24.689687499999998</v>
      </c>
      <c r="D41" s="123">
        <f>22+2</f>
        <v>24</v>
      </c>
      <c r="E41" s="124">
        <f>SUM(B41:D41)</f>
        <v>67.081381249999993</v>
      </c>
    </row>
    <row r="42" spans="1:6" s="131" customFormat="1" x14ac:dyDescent="0.25">
      <c r="A42" s="122" t="s">
        <v>143</v>
      </c>
      <c r="B42" s="123">
        <f>B40*B41</f>
        <v>444269.75422499998</v>
      </c>
      <c r="C42" s="123">
        <f>C40*C41</f>
        <v>253464.33187499997</v>
      </c>
      <c r="D42" s="123">
        <f>D40*D41</f>
        <v>623232</v>
      </c>
      <c r="E42" s="124">
        <f>SUM(B42:D42)</f>
        <v>1320966.0861</v>
      </c>
    </row>
    <row r="43" spans="1:6" x14ac:dyDescent="0.25">
      <c r="A43" s="122"/>
      <c r="B43" s="123"/>
      <c r="C43" s="123"/>
      <c r="D43" s="123"/>
      <c r="E43" s="124"/>
    </row>
    <row r="44" spans="1:6" x14ac:dyDescent="0.25">
      <c r="A44" s="121" t="s">
        <v>144</v>
      </c>
      <c r="B44" s="123"/>
      <c r="C44" s="123"/>
      <c r="D44" s="123"/>
      <c r="E44" s="124"/>
    </row>
    <row r="45" spans="1:6" x14ac:dyDescent="0.25">
      <c r="A45" s="122" t="s">
        <v>145</v>
      </c>
      <c r="B45" s="125">
        <f>-8.5*((102.5%)^2)*25%*B40</f>
        <v>-53930.157187499994</v>
      </c>
      <c r="C45" s="125">
        <f>-8.5*((102.5%)^2)*25%*C40</f>
        <v>-22919.647031249999</v>
      </c>
      <c r="D45" s="125">
        <f>-8.5*((102.5%)^2)*25%*D40</f>
        <v>-57975.588749999995</v>
      </c>
      <c r="E45" s="126">
        <f>-8.5*((102.5%)^2)*25%*E40</f>
        <v>-134825.39296875001</v>
      </c>
      <c r="F45" s="133"/>
    </row>
    <row r="46" spans="1:6" x14ac:dyDescent="0.25">
      <c r="A46" s="122" t="s">
        <v>152</v>
      </c>
      <c r="B46" s="125">
        <f>-5%*B42</f>
        <v>-22213.48771125</v>
      </c>
      <c r="C46" s="125">
        <f>-5%*C42</f>
        <v>-12673.216593749999</v>
      </c>
      <c r="D46" s="125">
        <f>-5%*D42</f>
        <v>-31161.600000000002</v>
      </c>
      <c r="E46" s="126">
        <f>-5%*E42</f>
        <v>-66048.304304999998</v>
      </c>
    </row>
    <row r="47" spans="1:6" x14ac:dyDescent="0.25">
      <c r="A47" s="122" t="s">
        <v>153</v>
      </c>
      <c r="B47" s="125">
        <v>-50000</v>
      </c>
      <c r="C47" s="125">
        <v>-50000</v>
      </c>
      <c r="D47" s="125">
        <v>-50000</v>
      </c>
      <c r="E47" s="124">
        <f>SUM(B47:D47)</f>
        <v>-150000</v>
      </c>
    </row>
    <row r="48" spans="1:6" x14ac:dyDescent="0.25">
      <c r="A48" s="122" t="s">
        <v>147</v>
      </c>
      <c r="B48" s="125"/>
      <c r="C48" s="125"/>
      <c r="D48" s="125"/>
      <c r="E48" s="124">
        <f>-ARM!C19</f>
        <v>-346767.2822501717</v>
      </c>
    </row>
    <row r="49" spans="1:5" x14ac:dyDescent="0.25">
      <c r="A49" s="122" t="s">
        <v>148</v>
      </c>
      <c r="B49" s="125"/>
      <c r="C49" s="125"/>
      <c r="D49" s="125"/>
      <c r="E49" s="124">
        <f>SUM(E45:E48)</f>
        <v>-697640.97952392162</v>
      </c>
    </row>
    <row r="50" spans="1:5" x14ac:dyDescent="0.25">
      <c r="A50" s="122"/>
      <c r="B50" s="125"/>
      <c r="C50" s="125"/>
      <c r="D50" s="125"/>
      <c r="E50" s="124"/>
    </row>
    <row r="51" spans="1:5" x14ac:dyDescent="0.25">
      <c r="A51" s="127" t="s">
        <v>149</v>
      </c>
      <c r="B51" s="125"/>
      <c r="C51" s="125"/>
      <c r="D51" s="125"/>
      <c r="E51" s="124">
        <f>E42+E49</f>
        <v>623325.10657607834</v>
      </c>
    </row>
    <row r="52" spans="1:5" x14ac:dyDescent="0.25">
      <c r="A52" s="128"/>
      <c r="B52" s="125"/>
      <c r="C52" s="125"/>
      <c r="D52" s="125"/>
      <c r="E52" s="124"/>
    </row>
    <row r="53" spans="1:5" x14ac:dyDescent="0.25">
      <c r="A53" s="122"/>
      <c r="B53" s="125"/>
      <c r="C53" s="125"/>
      <c r="D53" s="125"/>
      <c r="E53" s="124"/>
    </row>
    <row r="54" spans="1:5" x14ac:dyDescent="0.25">
      <c r="A54" s="128"/>
      <c r="B54" s="129"/>
      <c r="C54" s="129"/>
      <c r="D54" s="129"/>
      <c r="E54" s="130"/>
    </row>
    <row r="55" spans="1:5" x14ac:dyDescent="0.25">
      <c r="A55" s="128"/>
      <c r="B55" s="129"/>
      <c r="C55" s="129"/>
      <c r="D55" s="129"/>
      <c r="E55" s="130"/>
    </row>
    <row r="56" spans="1:5" x14ac:dyDescent="0.25">
      <c r="A56" s="119" t="s">
        <v>154</v>
      </c>
      <c r="B56" s="120" t="s">
        <v>9</v>
      </c>
      <c r="C56" s="120" t="s">
        <v>13</v>
      </c>
      <c r="D56" s="120" t="s">
        <v>15</v>
      </c>
      <c r="E56" s="121" t="s">
        <v>141</v>
      </c>
    </row>
    <row r="57" spans="1:5" x14ac:dyDescent="0.25">
      <c r="A57" s="121" t="s">
        <v>142</v>
      </c>
      <c r="B57" s="120"/>
      <c r="C57" s="120"/>
      <c r="D57" s="120"/>
      <c r="E57" s="122"/>
    </row>
    <row r="58" spans="1:5" x14ac:dyDescent="0.25">
      <c r="A58" s="122" t="s">
        <v>10</v>
      </c>
      <c r="B58" s="123">
        <v>24156</v>
      </c>
      <c r="C58" s="123">
        <v>10266</v>
      </c>
      <c r="D58" s="123">
        <v>25968</v>
      </c>
      <c r="E58" s="124">
        <f>SUM(B58:D58)</f>
        <v>60390</v>
      </c>
    </row>
    <row r="59" spans="1:5" x14ac:dyDescent="0.25">
      <c r="A59" s="122" t="s">
        <v>11</v>
      </c>
      <c r="B59" s="123">
        <f>'[1]Rent Market Project'!B6</f>
        <v>17.747984468749998</v>
      </c>
      <c r="C59" s="123">
        <f>23.5*((102.5%)^3)</f>
        <v>25.306929687499998</v>
      </c>
      <c r="D59" s="123">
        <f>22+2+2</f>
        <v>26</v>
      </c>
      <c r="E59" s="124">
        <f>SUM(B59:D59)</f>
        <v>69.054914156249993</v>
      </c>
    </row>
    <row r="60" spans="1:5" x14ac:dyDescent="0.25">
      <c r="A60" s="122" t="s">
        <v>143</v>
      </c>
      <c r="B60" s="123">
        <f>B58*B59</f>
        <v>428720.31282712496</v>
      </c>
      <c r="C60" s="123">
        <f>C58*C59</f>
        <v>259800.94017187497</v>
      </c>
      <c r="D60" s="123">
        <f>D58*D59</f>
        <v>675168</v>
      </c>
      <c r="E60" s="124">
        <f>SUM(B60:D60)</f>
        <v>1363689.2529989998</v>
      </c>
    </row>
    <row r="61" spans="1:5" x14ac:dyDescent="0.25">
      <c r="A61" s="122"/>
      <c r="B61" s="123"/>
      <c r="C61" s="123"/>
      <c r="D61" s="123"/>
      <c r="E61" s="124"/>
    </row>
    <row r="62" spans="1:5" x14ac:dyDescent="0.25">
      <c r="A62" s="121" t="s">
        <v>144</v>
      </c>
      <c r="B62" s="123"/>
      <c r="C62" s="123"/>
      <c r="D62" s="123"/>
      <c r="E62" s="124"/>
    </row>
    <row r="63" spans="1:5" x14ac:dyDescent="0.25">
      <c r="A63" s="122" t="s">
        <v>145</v>
      </c>
      <c r="B63" s="125">
        <f>-8.5*((102.5%)^3)*25%*B58</f>
        <v>-55278.411117187497</v>
      </c>
      <c r="C63" s="125">
        <f>-8.5*((102.5%)^3)*25%*C58</f>
        <v>-23492.63820703125</v>
      </c>
      <c r="D63" s="125">
        <f>-8.5*((102.5%)^3)*25%*D58</f>
        <v>-59424.97846875</v>
      </c>
      <c r="E63" s="126">
        <f>-8.5*((102.5%)^3)*25%*E58</f>
        <v>-138196.02779296873</v>
      </c>
    </row>
    <row r="64" spans="1:5" x14ac:dyDescent="0.25">
      <c r="A64" s="122" t="s">
        <v>152</v>
      </c>
      <c r="B64" s="125">
        <f>-5%*B60</f>
        <v>-21436.015641356251</v>
      </c>
      <c r="C64" s="125">
        <f>-5%*C60</f>
        <v>-12990.047008593749</v>
      </c>
      <c r="D64" s="125">
        <f>-5%*D60</f>
        <v>-33758.400000000001</v>
      </c>
      <c r="E64" s="126">
        <f>-5%*E60</f>
        <v>-68184.462649949986</v>
      </c>
    </row>
    <row r="65" spans="1:6" x14ac:dyDescent="0.25">
      <c r="A65" s="122" t="s">
        <v>147</v>
      </c>
      <c r="B65" s="125"/>
      <c r="C65" s="125"/>
      <c r="D65" s="125"/>
      <c r="E65" s="124">
        <f>-ARM!C20</f>
        <v>-319163.15629607451</v>
      </c>
    </row>
    <row r="66" spans="1:6" x14ac:dyDescent="0.25">
      <c r="A66" s="122" t="s">
        <v>148</v>
      </c>
      <c r="B66" s="125"/>
      <c r="C66" s="125"/>
      <c r="D66" s="125"/>
      <c r="E66" s="124">
        <f>SUM(E63:E65)</f>
        <v>-525543.64673899324</v>
      </c>
    </row>
    <row r="67" spans="1:6" x14ac:dyDescent="0.25">
      <c r="A67" s="122"/>
      <c r="B67" s="125"/>
      <c r="C67" s="125"/>
      <c r="D67" s="125"/>
      <c r="E67" s="124"/>
    </row>
    <row r="68" spans="1:6" x14ac:dyDescent="0.25">
      <c r="A68" s="127" t="s">
        <v>149</v>
      </c>
      <c r="B68" s="125"/>
      <c r="C68" s="125"/>
      <c r="D68" s="125"/>
      <c r="E68" s="124">
        <f>E60+E66</f>
        <v>838145.60626000655</v>
      </c>
    </row>
    <row r="69" spans="1:6" x14ac:dyDescent="0.25">
      <c r="A69" s="128"/>
      <c r="B69" s="125"/>
      <c r="C69" s="125"/>
      <c r="D69" s="125"/>
      <c r="E69" s="124"/>
    </row>
    <row r="70" spans="1:6" x14ac:dyDescent="0.25">
      <c r="A70" s="122"/>
      <c r="B70" s="125"/>
      <c r="C70" s="125"/>
      <c r="D70" s="125"/>
      <c r="E70" s="124"/>
    </row>
    <row r="71" spans="1:6" x14ac:dyDescent="0.25">
      <c r="A71" s="128"/>
      <c r="B71" s="129"/>
      <c r="C71" s="129"/>
      <c r="D71" s="129"/>
      <c r="E71" s="130"/>
    </row>
    <row r="72" spans="1:6" x14ac:dyDescent="0.25">
      <c r="A72" s="128"/>
      <c r="B72" s="129"/>
      <c r="C72" s="129"/>
      <c r="D72" s="129"/>
      <c r="E72" s="130"/>
    </row>
    <row r="73" spans="1:6" x14ac:dyDescent="0.25">
      <c r="A73" s="119" t="s">
        <v>155</v>
      </c>
      <c r="B73" s="120" t="s">
        <v>9</v>
      </c>
      <c r="C73" s="120" t="s">
        <v>13</v>
      </c>
      <c r="D73" s="120" t="s">
        <v>15</v>
      </c>
      <c r="E73" s="121" t="s">
        <v>141</v>
      </c>
    </row>
    <row r="74" spans="1:6" x14ac:dyDescent="0.25">
      <c r="A74" s="121" t="s">
        <v>142</v>
      </c>
      <c r="B74" s="120"/>
      <c r="C74" s="120"/>
      <c r="D74" s="120"/>
      <c r="E74" s="122"/>
    </row>
    <row r="75" spans="1:6" x14ac:dyDescent="0.25">
      <c r="A75" s="122" t="s">
        <v>10</v>
      </c>
      <c r="B75" s="123">
        <v>24156</v>
      </c>
      <c r="C75" s="123">
        <v>10266</v>
      </c>
      <c r="D75" s="123">
        <v>25968</v>
      </c>
      <c r="E75" s="124">
        <f>SUM(B75:D75)</f>
        <v>60390</v>
      </c>
    </row>
    <row r="76" spans="1:6" x14ac:dyDescent="0.25">
      <c r="A76" s="122" t="s">
        <v>11</v>
      </c>
      <c r="B76" s="123">
        <f>'[1]Rent Market Project'!B7</f>
        <v>18.191684080468747</v>
      </c>
      <c r="C76" s="123">
        <f>'[1]Rent Market Project'!B7</f>
        <v>18.191684080468747</v>
      </c>
      <c r="D76" s="123">
        <f>22+2+2</f>
        <v>26</v>
      </c>
      <c r="E76" s="124">
        <f>SUM(B76:D76)</f>
        <v>62.383368160937493</v>
      </c>
    </row>
    <row r="77" spans="1:6" x14ac:dyDescent="0.25">
      <c r="A77" s="122" t="s">
        <v>143</v>
      </c>
      <c r="B77" s="123">
        <f>B75*B76</f>
        <v>439438.32064780302</v>
      </c>
      <c r="C77" s="123">
        <f>C75*C76</f>
        <v>186755.82877009216</v>
      </c>
      <c r="D77" s="123">
        <f>D75*D76</f>
        <v>675168</v>
      </c>
      <c r="E77" s="124">
        <f>SUM(B77:D77)</f>
        <v>1301362.1494178951</v>
      </c>
      <c r="F77" s="134"/>
    </row>
    <row r="78" spans="1:6" x14ac:dyDescent="0.25">
      <c r="A78" s="122"/>
      <c r="B78" s="123"/>
      <c r="C78" s="123"/>
      <c r="D78" s="123"/>
      <c r="E78" s="124"/>
    </row>
    <row r="79" spans="1:6" x14ac:dyDescent="0.25">
      <c r="A79" s="121" t="s">
        <v>144</v>
      </c>
      <c r="B79" s="123"/>
      <c r="C79" s="123"/>
      <c r="D79" s="123"/>
      <c r="E79" s="124"/>
    </row>
    <row r="80" spans="1:6" x14ac:dyDescent="0.25">
      <c r="A80" s="122" t="s">
        <v>145</v>
      </c>
      <c r="B80" s="125">
        <f>-8.5*((102.5%)^4)*25%*B75</f>
        <v>-56660.371395117181</v>
      </c>
      <c r="C80" s="125">
        <f>-8.5*((102.5%)^4)*25%*C75</f>
        <v>-24079.954162207028</v>
      </c>
      <c r="D80" s="125">
        <f>-8.5*((102.5%)^4)*25%*D75</f>
        <v>-60910.60293046874</v>
      </c>
      <c r="E80" s="126">
        <f>-8.5*((102.5%)^4)*25%*E75</f>
        <v>-141650.92848779296</v>
      </c>
    </row>
    <row r="81" spans="1:5" x14ac:dyDescent="0.25">
      <c r="A81" s="122" t="s">
        <v>152</v>
      </c>
      <c r="B81" s="125">
        <f>-10%*B77</f>
        <v>-43943.832064780305</v>
      </c>
      <c r="C81" s="125">
        <f>-10%*C77</f>
        <v>-18675.582877009216</v>
      </c>
      <c r="D81" s="125">
        <f>-10%*D77</f>
        <v>-67516.800000000003</v>
      </c>
      <c r="E81" s="126">
        <f>-10%*E77</f>
        <v>-130136.21494178951</v>
      </c>
    </row>
    <row r="82" spans="1:5" x14ac:dyDescent="0.25">
      <c r="A82" s="122" t="s">
        <v>147</v>
      </c>
      <c r="B82" s="125"/>
      <c r="C82" s="125"/>
      <c r="D82" s="125"/>
      <c r="E82" s="126">
        <f>-ARM!C21</f>
        <v>-326900.54731838818</v>
      </c>
    </row>
    <row r="83" spans="1:5" x14ac:dyDescent="0.25">
      <c r="A83" s="122" t="s">
        <v>148</v>
      </c>
      <c r="B83" s="125"/>
      <c r="C83" s="125"/>
      <c r="D83" s="125"/>
      <c r="E83" s="124">
        <f>SUM(E80:E82)</f>
        <v>-598687.69074797072</v>
      </c>
    </row>
    <row r="84" spans="1:5" x14ac:dyDescent="0.25">
      <c r="A84" s="122"/>
      <c r="B84" s="125"/>
      <c r="C84" s="125"/>
      <c r="D84" s="125"/>
      <c r="E84" s="124"/>
    </row>
    <row r="85" spans="1:5" x14ac:dyDescent="0.25">
      <c r="A85" s="127" t="s">
        <v>149</v>
      </c>
      <c r="B85" s="125"/>
      <c r="C85" s="125"/>
      <c r="D85" s="125"/>
      <c r="E85" s="124">
        <f>E77+E83</f>
        <v>702674.45866992441</v>
      </c>
    </row>
    <row r="86" spans="1:5" x14ac:dyDescent="0.25">
      <c r="A86" s="128"/>
      <c r="B86" s="125"/>
      <c r="C86" s="125"/>
      <c r="D86" s="125"/>
      <c r="E86" s="124"/>
    </row>
    <row r="87" spans="1:5" x14ac:dyDescent="0.25">
      <c r="A87" s="122"/>
      <c r="B87" s="125"/>
      <c r="C87" s="125"/>
      <c r="D87" s="125"/>
      <c r="E87" s="124"/>
    </row>
    <row r="88" spans="1:5" x14ac:dyDescent="0.25">
      <c r="A88" s="128"/>
      <c r="B88" s="129"/>
      <c r="C88" s="129"/>
      <c r="D88" s="129"/>
      <c r="E88" s="130"/>
    </row>
    <row r="89" spans="1:5" x14ac:dyDescent="0.25">
      <c r="A89" s="128"/>
      <c r="B89" s="129"/>
      <c r="C89" s="129"/>
      <c r="D89" s="129"/>
      <c r="E89" s="130"/>
    </row>
    <row r="90" spans="1:5" x14ac:dyDescent="0.25">
      <c r="A90" s="119" t="s">
        <v>156</v>
      </c>
      <c r="B90" s="120" t="s">
        <v>9</v>
      </c>
      <c r="C90" s="120" t="s">
        <v>13</v>
      </c>
      <c r="D90" s="120" t="s">
        <v>15</v>
      </c>
      <c r="E90" s="121" t="s">
        <v>141</v>
      </c>
    </row>
    <row r="91" spans="1:5" x14ac:dyDescent="0.25">
      <c r="A91" s="121" t="s">
        <v>142</v>
      </c>
      <c r="B91" s="120"/>
      <c r="C91" s="120"/>
      <c r="D91" s="120"/>
      <c r="E91" s="122"/>
    </row>
    <row r="92" spans="1:5" x14ac:dyDescent="0.25">
      <c r="A92" s="122" t="s">
        <v>10</v>
      </c>
      <c r="B92" s="123">
        <v>24156</v>
      </c>
      <c r="C92" s="123">
        <v>10266</v>
      </c>
      <c r="D92" s="123">
        <v>25968</v>
      </c>
      <c r="E92" s="124">
        <f>SUM(B92:D92)</f>
        <v>60390</v>
      </c>
    </row>
    <row r="93" spans="1:5" x14ac:dyDescent="0.25">
      <c r="A93" s="122" t="s">
        <v>11</v>
      </c>
      <c r="B93" s="123">
        <f>'[1]Rent Market Project'!B8</f>
        <v>18.646476182480463</v>
      </c>
      <c r="C93" s="123">
        <f>'[1]Rent Market Project'!B8</f>
        <v>18.646476182480463</v>
      </c>
      <c r="D93" s="123">
        <f>22+2+2</f>
        <v>26</v>
      </c>
      <c r="E93" s="124">
        <f>SUM(B93:D93)</f>
        <v>63.292952364960925</v>
      </c>
    </row>
    <row r="94" spans="1:5" x14ac:dyDescent="0.25">
      <c r="A94" s="122" t="s">
        <v>143</v>
      </c>
      <c r="B94" s="123">
        <f>B92*B93</f>
        <v>450424.27866399806</v>
      </c>
      <c r="C94" s="123">
        <f>C92*C93</f>
        <v>191424.72448934443</v>
      </c>
      <c r="D94" s="123">
        <f>D92*D93</f>
        <v>675168</v>
      </c>
      <c r="E94" s="124">
        <f>SUM(B94:D94)</f>
        <v>1317017.0031533425</v>
      </c>
    </row>
    <row r="95" spans="1:5" x14ac:dyDescent="0.25">
      <c r="A95" s="122"/>
      <c r="B95" s="123"/>
      <c r="C95" s="123"/>
      <c r="D95" s="123"/>
      <c r="E95" s="124"/>
    </row>
    <row r="96" spans="1:5" x14ac:dyDescent="0.25">
      <c r="A96" s="121" t="s">
        <v>144</v>
      </c>
      <c r="B96" s="123"/>
      <c r="C96" s="123"/>
      <c r="D96" s="123"/>
      <c r="E96" s="124"/>
    </row>
    <row r="97" spans="1:5" x14ac:dyDescent="0.25">
      <c r="A97" s="122" t="s">
        <v>145</v>
      </c>
      <c r="B97" s="125">
        <f>-8.5*((102.5%)^5)*25%*B92</f>
        <v>-58076.880679995105</v>
      </c>
      <c r="C97" s="125">
        <f>-8.5*((102.5%)^5)*25%*C92</f>
        <v>-24681.953016262203</v>
      </c>
      <c r="D97" s="125">
        <f>-8.5*((102.5%)^5)*25%*D92</f>
        <v>-62433.368003730458</v>
      </c>
      <c r="E97" s="126">
        <f>-8.5*((102.5%)^5)*25%*E92</f>
        <v>-145192.20169998775</v>
      </c>
    </row>
    <row r="98" spans="1:5" x14ac:dyDescent="0.25">
      <c r="A98" s="122" t="s">
        <v>152</v>
      </c>
      <c r="B98" s="125">
        <f>-10%*B94</f>
        <v>-45042.427866399812</v>
      </c>
      <c r="C98" s="125">
        <f>-10%*C94</f>
        <v>-19142.472448934444</v>
      </c>
      <c r="D98" s="125">
        <f>-10%*D94</f>
        <v>-67516.800000000003</v>
      </c>
      <c r="E98" s="126">
        <f>-10%*E94</f>
        <v>-131701.70031533425</v>
      </c>
    </row>
    <row r="99" spans="1:5" x14ac:dyDescent="0.25">
      <c r="A99" s="122" t="s">
        <v>147</v>
      </c>
      <c r="B99" s="125"/>
      <c r="C99" s="125"/>
      <c r="D99" s="125"/>
      <c r="E99" s="124">
        <f>-'[1]Building Purchase&amp;Depreciation'!B10</f>
        <v>42753.383723646111</v>
      </c>
    </row>
    <row r="100" spans="1:5" x14ac:dyDescent="0.25">
      <c r="A100" s="122" t="s">
        <v>148</v>
      </c>
      <c r="B100" s="125"/>
      <c r="C100" s="125"/>
      <c r="D100" s="125"/>
      <c r="E100" s="124">
        <f>SUM(E97:E99)</f>
        <v>-234140.51829167589</v>
      </c>
    </row>
    <row r="101" spans="1:5" x14ac:dyDescent="0.25">
      <c r="A101" s="122"/>
      <c r="B101" s="125"/>
      <c r="C101" s="125"/>
      <c r="D101" s="125"/>
      <c r="E101" s="124"/>
    </row>
    <row r="102" spans="1:5" x14ac:dyDescent="0.25">
      <c r="A102" s="127" t="s">
        <v>149</v>
      </c>
      <c r="B102" s="125"/>
      <c r="C102" s="125"/>
      <c r="D102" s="125"/>
      <c r="E102" s="124">
        <f>E94+E100</f>
        <v>1082876.4848616666</v>
      </c>
    </row>
    <row r="103" spans="1:5" x14ac:dyDescent="0.25">
      <c r="A103" s="128"/>
      <c r="B103" s="125"/>
      <c r="C103" s="125"/>
      <c r="D103" s="125"/>
      <c r="E103" s="124"/>
    </row>
    <row r="104" spans="1:5" x14ac:dyDescent="0.25">
      <c r="A104" s="122"/>
      <c r="B104" s="125"/>
      <c r="C104" s="125"/>
      <c r="D104" s="125"/>
      <c r="E104" s="124"/>
    </row>
    <row r="105" spans="1:5" x14ac:dyDescent="0.25">
      <c r="A105" s="128"/>
      <c r="B105" s="129"/>
      <c r="C105" s="129"/>
      <c r="D105" s="129"/>
      <c r="E105" s="130"/>
    </row>
    <row r="106" spans="1:5" x14ac:dyDescent="0.25">
      <c r="A106" s="115"/>
      <c r="B106" s="116"/>
      <c r="C106" s="116"/>
      <c r="D106" s="116"/>
      <c r="E106" s="115"/>
    </row>
    <row r="107" spans="1:5" x14ac:dyDescent="0.25">
      <c r="A107" s="115"/>
      <c r="B107" s="135"/>
      <c r="C107" s="135"/>
      <c r="D107" s="135"/>
      <c r="E107" s="136"/>
    </row>
    <row r="108" spans="1:5" x14ac:dyDescent="0.25">
      <c r="A108" s="115"/>
      <c r="B108" s="137"/>
      <c r="C108" s="135"/>
      <c r="D108" s="135"/>
      <c r="E108" s="136"/>
    </row>
    <row r="109" spans="1:5" x14ac:dyDescent="0.25">
      <c r="A109" s="115"/>
      <c r="B109" s="135"/>
      <c r="C109" s="135"/>
      <c r="D109" s="135"/>
      <c r="E109" s="136"/>
    </row>
    <row r="110" spans="1:5" x14ac:dyDescent="0.25">
      <c r="A110" s="115"/>
      <c r="B110" s="135"/>
      <c r="C110" s="135"/>
      <c r="D110" s="135"/>
      <c r="E110" s="136"/>
    </row>
    <row r="111" spans="1:5" x14ac:dyDescent="0.25">
      <c r="A111" s="115"/>
      <c r="B111" s="135"/>
      <c r="C111" s="135"/>
      <c r="D111" s="135"/>
      <c r="E111" s="136"/>
    </row>
    <row r="112" spans="1:5" x14ac:dyDescent="0.25">
      <c r="A112" s="115"/>
      <c r="B112" s="135"/>
      <c r="C112" s="138"/>
      <c r="D112" s="116"/>
      <c r="E112" s="115"/>
    </row>
    <row r="113" spans="1:5" x14ac:dyDescent="0.25">
      <c r="A113" s="115"/>
      <c r="B113" s="139"/>
      <c r="C113" s="139"/>
      <c r="D113" s="139"/>
      <c r="E113" s="140"/>
    </row>
    <row r="114" spans="1:5" x14ac:dyDescent="0.25">
      <c r="A114" s="115"/>
      <c r="B114" s="116"/>
      <c r="C114" s="138"/>
      <c r="D114" s="116"/>
      <c r="E114" s="115"/>
    </row>
    <row r="115" spans="1:5" x14ac:dyDescent="0.25">
      <c r="A115" s="115"/>
      <c r="B115" s="139"/>
      <c r="C115" s="139"/>
      <c r="D115" s="139"/>
      <c r="E115" s="140"/>
    </row>
    <row r="116" spans="1:5" x14ac:dyDescent="0.25">
      <c r="A116" s="115"/>
      <c r="B116" s="116"/>
      <c r="C116" s="116"/>
      <c r="D116" s="139"/>
      <c r="E116" s="140"/>
    </row>
    <row r="117" spans="1:5" x14ac:dyDescent="0.25">
      <c r="A117" s="115"/>
      <c r="B117" s="139"/>
      <c r="C117" s="139"/>
      <c r="D117" s="139"/>
      <c r="E117" s="140"/>
    </row>
    <row r="118" spans="1:5" x14ac:dyDescent="0.25">
      <c r="A118" s="115"/>
      <c r="B118" s="116"/>
      <c r="C118" s="116"/>
      <c r="D118" s="116"/>
      <c r="E118" s="1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>
      <selection activeCell="I40" sqref="I40"/>
    </sheetView>
  </sheetViews>
  <sheetFormatPr defaultColWidth="9" defaultRowHeight="15" x14ac:dyDescent="0.25"/>
  <cols>
    <col min="1" max="1" width="26" style="76" customWidth="1"/>
    <col min="2" max="2" width="20.140625" style="76" customWidth="1"/>
    <col min="3" max="3" width="17.42578125" style="76" customWidth="1"/>
    <col min="4" max="4" width="16.42578125" style="76" bestFit="1" customWidth="1"/>
    <col min="5" max="6" width="16.42578125" style="76" customWidth="1"/>
    <col min="7" max="7" width="15.7109375" style="76" customWidth="1"/>
    <col min="8" max="8" width="13.28515625" style="76" customWidth="1"/>
    <col min="9" max="10" width="14.28515625" style="76" customWidth="1"/>
    <col min="11" max="256" width="12.28515625" style="77" customWidth="1"/>
    <col min="257" max="16384" width="9" style="77"/>
  </cols>
  <sheetData>
    <row r="1" spans="1:11" s="74" customFormat="1" ht="12.75" x14ac:dyDescent="0.2">
      <c r="A1" s="74" t="s">
        <v>66</v>
      </c>
      <c r="B1" s="74">
        <v>1</v>
      </c>
      <c r="C1" s="74">
        <v>2</v>
      </c>
      <c r="D1" s="74">
        <v>3</v>
      </c>
      <c r="E1" s="74">
        <v>4</v>
      </c>
      <c r="F1" s="74">
        <v>5</v>
      </c>
    </row>
    <row r="2" spans="1:11" x14ac:dyDescent="0.25">
      <c r="A2" s="74" t="s">
        <v>108</v>
      </c>
      <c r="J2" s="77"/>
    </row>
    <row r="3" spans="1:11" s="80" customFormat="1" x14ac:dyDescent="0.25">
      <c r="A3" s="78" t="s">
        <v>109</v>
      </c>
      <c r="B3" s="79">
        <f>'[1]Yearly Cashflow'!E25</f>
        <v>1474414.2749999999</v>
      </c>
      <c r="C3" s="79">
        <f>'[1]Yearly Cashflow'!E42</f>
        <v>1320966.0861</v>
      </c>
      <c r="D3" s="79">
        <f>'[1]Yearly Cashflow'!E60</f>
        <v>1363689.2529989998</v>
      </c>
      <c r="E3" s="79">
        <f>'[1]Yearly Cashflow'!E77</f>
        <v>1301362.1494178951</v>
      </c>
      <c r="F3" s="79">
        <f>'[1]Yearly Cashflow'!E94</f>
        <v>1317017.0031533425</v>
      </c>
    </row>
    <row r="4" spans="1:11" s="80" customFormat="1" x14ac:dyDescent="0.25">
      <c r="A4" s="78" t="s">
        <v>110</v>
      </c>
      <c r="B4" s="79">
        <v>0</v>
      </c>
      <c r="C4" s="79">
        <f>'[1]Yearly Cashflow'!E46</f>
        <v>-66048.304304999998</v>
      </c>
      <c r="D4" s="79">
        <f>'[1]Yearly Cashflow'!E64</f>
        <v>-68184.462649949986</v>
      </c>
      <c r="E4" s="79">
        <f>'[1]Yearly Cashflow'!E81</f>
        <v>-130136.21494178951</v>
      </c>
      <c r="F4" s="79">
        <f>'[1]Yearly Cashflow'!E98</f>
        <v>-131701.70031533425</v>
      </c>
    </row>
    <row r="5" spans="1:11" x14ac:dyDescent="0.25">
      <c r="A5" s="81" t="s">
        <v>111</v>
      </c>
      <c r="B5" s="82">
        <f>B3-B4</f>
        <v>1474414.2749999999</v>
      </c>
      <c r="C5" s="82">
        <f>C3+C4</f>
        <v>1254917.781795</v>
      </c>
      <c r="D5" s="82">
        <f>D3+D4</f>
        <v>1295504.7903490497</v>
      </c>
      <c r="E5" s="82">
        <f>E3+E4</f>
        <v>1171225.9344761055</v>
      </c>
      <c r="F5" s="82">
        <f>F3+F4</f>
        <v>1185315.3028380084</v>
      </c>
      <c r="J5" s="77"/>
    </row>
    <row r="6" spans="1:11" s="80" customFormat="1" x14ac:dyDescent="0.25">
      <c r="A6" s="78" t="s">
        <v>112</v>
      </c>
      <c r="B6" s="79">
        <f>'[1]Yearly Cashflow'!E45</f>
        <v>-134825.39296875001</v>
      </c>
      <c r="C6" s="79">
        <f>'[1]Yearly Cashflow'!E63</f>
        <v>-138196.02779296873</v>
      </c>
      <c r="D6" s="79">
        <f>'[1]Yearly Cashflow'!E80</f>
        <v>-141650.92848779296</v>
      </c>
      <c r="E6" s="79">
        <f>'[1]Yearly Cashflow'!E97</f>
        <v>-145192.20169998775</v>
      </c>
      <c r="F6" s="79">
        <f>-8.5*((102.5%)^6)*25%*'[1]Yearly Cashflow'!E92</f>
        <v>-148822.00674248743</v>
      </c>
      <c r="G6" s="83"/>
      <c r="H6" s="83"/>
      <c r="I6" s="83"/>
      <c r="J6" s="83"/>
      <c r="K6" s="83"/>
    </row>
    <row r="7" spans="1:11" x14ac:dyDescent="0.25">
      <c r="A7" s="81" t="s">
        <v>113</v>
      </c>
      <c r="B7" s="82">
        <f>'[1]Yearly Cashflow'!E29</f>
        <v>-150000</v>
      </c>
      <c r="C7" s="82">
        <f>'[1]Yearly Cashflow'!E47</f>
        <v>-150000</v>
      </c>
      <c r="D7" s="82" t="s">
        <v>114</v>
      </c>
      <c r="E7" s="82" t="s">
        <v>114</v>
      </c>
      <c r="F7" s="82" t="s">
        <v>114</v>
      </c>
      <c r="J7" s="77"/>
    </row>
    <row r="8" spans="1:11" s="86" customFormat="1" x14ac:dyDescent="0.25">
      <c r="A8" s="84" t="s">
        <v>115</v>
      </c>
      <c r="B8" s="85">
        <f>SUM(B5:B7)</f>
        <v>1189588.8820312498</v>
      </c>
      <c r="C8" s="85">
        <f>SUM(C5:C7)</f>
        <v>966721.75400203117</v>
      </c>
      <c r="D8" s="85">
        <f>SUM(D5:D7)</f>
        <v>1153853.8618612569</v>
      </c>
      <c r="E8" s="85">
        <f>SUM(E5:E7)</f>
        <v>1026033.7327761177</v>
      </c>
      <c r="F8" s="82">
        <f>SUM(F5:F6)</f>
        <v>1036493.296095521</v>
      </c>
    </row>
    <row r="9" spans="1:11" s="80" customFormat="1" x14ac:dyDescent="0.25">
      <c r="A9" s="78" t="s">
        <v>116</v>
      </c>
      <c r="B9" s="79">
        <f>ARM!C17</f>
        <v>330027.99039143091</v>
      </c>
      <c r="C9" s="79">
        <f>ARM!C18</f>
        <v>370191.79522836232</v>
      </c>
      <c r="D9" s="79">
        <f>ARM!C19</f>
        <v>346767.2822501717</v>
      </c>
      <c r="E9" s="79">
        <f>ARM!C20</f>
        <v>319163.15629607451</v>
      </c>
      <c r="F9" s="79"/>
    </row>
    <row r="10" spans="1:11" x14ac:dyDescent="0.25">
      <c r="A10" s="81" t="s">
        <v>117</v>
      </c>
      <c r="B10" s="82">
        <f t="shared" ref="B10:E10" si="0">B8+B9</f>
        <v>1519616.8724226807</v>
      </c>
      <c r="C10" s="82">
        <f t="shared" si="0"/>
        <v>1336913.5492303935</v>
      </c>
      <c r="D10" s="82">
        <f t="shared" si="0"/>
        <v>1500621.1441114286</v>
      </c>
      <c r="E10" s="82">
        <f t="shared" si="0"/>
        <v>1345196.8890721924</v>
      </c>
      <c r="F10" s="87"/>
      <c r="J10" s="77"/>
    </row>
    <row r="11" spans="1:11" x14ac:dyDescent="0.25">
      <c r="A11" s="81" t="s">
        <v>118</v>
      </c>
      <c r="B11" s="82">
        <f>-B19</f>
        <v>-277928.29255709122</v>
      </c>
      <c r="C11" s="82">
        <f>-C19</f>
        <v>-181731.49657871481</v>
      </c>
      <c r="D11" s="82">
        <f>-D19</f>
        <v>-257316.73768982131</v>
      </c>
      <c r="E11" s="82">
        <f>-E19</f>
        <v>-256928.20006245535</v>
      </c>
      <c r="F11" s="87"/>
      <c r="J11" s="77"/>
    </row>
    <row r="12" spans="1:11" x14ac:dyDescent="0.25">
      <c r="A12" s="81" t="s">
        <v>119</v>
      </c>
      <c r="B12" s="82">
        <f t="shared" ref="B12:E12" si="1">B10+B11</f>
        <v>1241688.5798655895</v>
      </c>
      <c r="C12" s="82">
        <f t="shared" si="1"/>
        <v>1155182.0526516787</v>
      </c>
      <c r="D12" s="82">
        <f t="shared" si="1"/>
        <v>1243304.4064216074</v>
      </c>
      <c r="E12" s="82">
        <f t="shared" si="1"/>
        <v>1088268.689009737</v>
      </c>
      <c r="F12" s="87"/>
      <c r="G12" s="88"/>
      <c r="J12" s="77"/>
    </row>
    <row r="13" spans="1:11" x14ac:dyDescent="0.25">
      <c r="B13" s="89"/>
      <c r="C13" s="89"/>
      <c r="D13" s="89"/>
      <c r="E13" s="89"/>
      <c r="F13" s="89"/>
      <c r="G13" s="89"/>
    </row>
    <row r="14" spans="1:11" x14ac:dyDescent="0.25">
      <c r="A14" s="74" t="s">
        <v>120</v>
      </c>
      <c r="B14" s="89"/>
      <c r="C14" s="89"/>
      <c r="D14" s="89"/>
      <c r="E14" s="89"/>
      <c r="F14" s="90"/>
      <c r="G14" s="89"/>
    </row>
    <row r="15" spans="1:11" x14ac:dyDescent="0.25">
      <c r="A15" s="81" t="s">
        <v>115</v>
      </c>
      <c r="B15" s="82">
        <f>B8</f>
        <v>1189588.8820312498</v>
      </c>
      <c r="C15" s="82">
        <f>C8</f>
        <v>966721.75400203117</v>
      </c>
      <c r="D15" s="82">
        <f>D8</f>
        <v>1153853.8618612569</v>
      </c>
      <c r="E15" s="82">
        <f>E8</f>
        <v>1026033.7327761177</v>
      </c>
      <c r="F15" s="79">
        <f>F8</f>
        <v>1036493.296095521</v>
      </c>
      <c r="G15" s="91"/>
      <c r="J15" s="77"/>
    </row>
    <row r="16" spans="1:11" s="95" customFormat="1" ht="12.75" x14ac:dyDescent="0.2">
      <c r="A16" s="84" t="s">
        <v>121</v>
      </c>
      <c r="B16" s="92">
        <f>-'[1]Building Purchase&amp;Depreciation'!B102</f>
        <v>-167233.84615384616</v>
      </c>
      <c r="C16" s="85">
        <f>-'[1]Building Purchase&amp;Depreciation'!B103</f>
        <v>-167233.84615384616</v>
      </c>
      <c r="D16" s="85">
        <f>-SUM('[1]Building Purchase&amp;Depreciation'!B104:C104)</f>
        <v>-173003.07692307694</v>
      </c>
      <c r="E16" s="85">
        <f>-SUM('[1]Building Purchase&amp;Depreciation'!B105:C105)/2</f>
        <v>-89386.153846153844</v>
      </c>
      <c r="F16" s="93"/>
      <c r="G16" s="94"/>
    </row>
    <row r="17" spans="1:10" s="95" customFormat="1" ht="12.75" x14ac:dyDescent="0.2">
      <c r="A17" s="84" t="s">
        <v>67</v>
      </c>
      <c r="B17" s="85">
        <f>-ARM!E17</f>
        <v>-228274.2</v>
      </c>
      <c r="C17" s="85">
        <f>-ARM!E18</f>
        <v>-280255.06048042845</v>
      </c>
      <c r="D17" s="85">
        <f>-ARM!E19</f>
        <v>-245660.10582440469</v>
      </c>
      <c r="E17" s="85">
        <f>-ARM!E20</f>
        <v>-202567.00732294848</v>
      </c>
      <c r="F17" s="85"/>
    </row>
    <row r="18" spans="1:10" x14ac:dyDescent="0.25">
      <c r="A18" s="81" t="s">
        <v>122</v>
      </c>
      <c r="B18" s="82">
        <f t="shared" ref="B18:E18" si="2">SUM(B15:B17)</f>
        <v>794080.83587740362</v>
      </c>
      <c r="C18" s="82">
        <f t="shared" si="2"/>
        <v>519232.84736775659</v>
      </c>
      <c r="D18" s="82">
        <f t="shared" si="2"/>
        <v>735190.67911377526</v>
      </c>
      <c r="E18" s="82">
        <f t="shared" si="2"/>
        <v>734080.57160701533</v>
      </c>
      <c r="F18" s="96"/>
      <c r="J18" s="77"/>
    </row>
    <row r="19" spans="1:10" x14ac:dyDescent="0.25">
      <c r="A19" s="81" t="s">
        <v>123</v>
      </c>
      <c r="B19" s="82">
        <f t="shared" ref="B19:E19" si="3">35%*B18</f>
        <v>277928.29255709122</v>
      </c>
      <c r="C19" s="82">
        <f t="shared" si="3"/>
        <v>181731.49657871481</v>
      </c>
      <c r="D19" s="82">
        <f t="shared" si="3"/>
        <v>257316.73768982131</v>
      </c>
      <c r="E19" s="82">
        <f t="shared" si="3"/>
        <v>256928.20006245535</v>
      </c>
      <c r="F19" s="96"/>
      <c r="J19" s="77"/>
    </row>
    <row r="21" spans="1:10" x14ac:dyDescent="0.25">
      <c r="B21" s="88"/>
    </row>
    <row r="22" spans="1:10" x14ac:dyDescent="0.25">
      <c r="A22" s="74" t="s">
        <v>124</v>
      </c>
      <c r="C22" s="74" t="s">
        <v>125</v>
      </c>
    </row>
    <row r="23" spans="1:10" x14ac:dyDescent="0.25">
      <c r="A23" s="84" t="s">
        <v>126</v>
      </c>
      <c r="B23" s="97">
        <f>F8/(8.5%)</f>
        <v>12194038.777594363</v>
      </c>
      <c r="C23" s="98" t="s">
        <v>127</v>
      </c>
      <c r="D23" s="89">
        <f>B25</f>
        <v>11950158.002042476</v>
      </c>
    </row>
    <row r="24" spans="1:10" ht="15" customHeight="1" x14ac:dyDescent="0.25">
      <c r="A24" s="78" t="s">
        <v>45</v>
      </c>
      <c r="B24" s="99">
        <f>-2%*B23</f>
        <v>-243880.77555188726</v>
      </c>
      <c r="C24" s="95"/>
      <c r="D24" s="150"/>
      <c r="E24" s="151"/>
      <c r="F24" s="151"/>
      <c r="G24" s="151"/>
    </row>
    <row r="25" spans="1:10" x14ac:dyDescent="0.25">
      <c r="A25" s="81" t="s">
        <v>127</v>
      </c>
      <c r="B25" s="89">
        <f>B23+B24</f>
        <v>11950158.002042476</v>
      </c>
      <c r="I25" s="100"/>
    </row>
    <row r="26" spans="1:10" x14ac:dyDescent="0.25">
      <c r="A26" s="81" t="s">
        <v>128</v>
      </c>
      <c r="B26" s="101">
        <f>ARM!H21</f>
        <v>5106866.4838310909</v>
      </c>
      <c r="C26" s="75"/>
    </row>
    <row r="27" spans="1:10" x14ac:dyDescent="0.25">
      <c r="A27" s="81" t="s">
        <v>129</v>
      </c>
      <c r="B27" s="102">
        <f>B25-B26</f>
        <v>6843291.5182113852</v>
      </c>
      <c r="C27" s="91"/>
    </row>
    <row r="28" spans="1:10" s="80" customFormat="1" x14ac:dyDescent="0.25">
      <c r="A28" s="78" t="s">
        <v>130</v>
      </c>
      <c r="B28" s="102">
        <f>-17%*(D23-(B30+B31+'[1]Building Purchase&amp;Depreciation'!B98))</f>
        <v>-437219.39111645153</v>
      </c>
      <c r="I28" s="103"/>
    </row>
    <row r="29" spans="1:10" x14ac:dyDescent="0.25">
      <c r="A29" s="81" t="s">
        <v>131</v>
      </c>
      <c r="B29" s="89">
        <f>(B27+B28)</f>
        <v>6406072.1270949338</v>
      </c>
    </row>
    <row r="30" spans="1:10" x14ac:dyDescent="0.25">
      <c r="A30" s="81" t="s">
        <v>132</v>
      </c>
      <c r="B30" s="102">
        <f>'[1]Building Purchase&amp;Depreciation'!B3</f>
        <v>8152650</v>
      </c>
      <c r="C30" s="91"/>
      <c r="F30" s="104"/>
    </row>
    <row r="31" spans="1:10" x14ac:dyDescent="0.25">
      <c r="A31" s="81" t="s">
        <v>133</v>
      </c>
      <c r="B31" s="102">
        <f>'[1]Building Purchase&amp;Depreciation'!B97</f>
        <v>450000</v>
      </c>
      <c r="C31" s="91"/>
    </row>
    <row r="32" spans="1:10" x14ac:dyDescent="0.25">
      <c r="A32" s="81" t="s">
        <v>134</v>
      </c>
      <c r="B32" s="105">
        <v>0.1</v>
      </c>
    </row>
    <row r="34" spans="1:10" s="74" customFormat="1" ht="12.75" x14ac:dyDescent="0.2">
      <c r="A34" s="106" t="s">
        <v>66</v>
      </c>
      <c r="B34" s="74">
        <v>0</v>
      </c>
      <c r="C34" s="74">
        <v>1</v>
      </c>
      <c r="D34" s="74">
        <v>2</v>
      </c>
      <c r="E34" s="74">
        <v>3</v>
      </c>
      <c r="F34" s="74">
        <v>4</v>
      </c>
      <c r="G34" s="74">
        <v>5</v>
      </c>
    </row>
    <row r="35" spans="1:10" x14ac:dyDescent="0.25">
      <c r="A35" s="74" t="s">
        <v>135</v>
      </c>
      <c r="H35" s="107" t="s">
        <v>107</v>
      </c>
      <c r="I35" s="107" t="s">
        <v>104</v>
      </c>
      <c r="J35" s="107"/>
    </row>
    <row r="36" spans="1:10" s="75" customFormat="1" x14ac:dyDescent="0.25">
      <c r="A36" s="78" t="s">
        <v>119</v>
      </c>
      <c r="B36" s="108"/>
      <c r="C36" s="108">
        <f>1439834.35/((1+10%)^C34)</f>
        <v>1308940.3181818181</v>
      </c>
      <c r="D36" s="108">
        <f>B12/((1+10%)^D34)</f>
        <v>1026188.9089798259</v>
      </c>
      <c r="E36" s="108">
        <f>C12/((1+10%)^E34)</f>
        <v>867905.37389307166</v>
      </c>
      <c r="F36" s="108">
        <f>D12/((1+10%)^F34)</f>
        <v>849193.63870063995</v>
      </c>
      <c r="G36" s="108">
        <f>E12/((1+10%)^G34)</f>
        <v>675729.23422377789</v>
      </c>
      <c r="H36" s="109"/>
      <c r="I36" s="109"/>
      <c r="J36" s="110"/>
    </row>
    <row r="37" spans="1:10" x14ac:dyDescent="0.25">
      <c r="A37" s="81" t="s">
        <v>131</v>
      </c>
      <c r="B37" s="108"/>
      <c r="C37" s="108"/>
      <c r="D37" s="108"/>
      <c r="E37" s="108"/>
      <c r="F37" s="108"/>
      <c r="G37" s="108">
        <f>B29/((1+10%)^G34)</f>
        <v>3977666.7807681612</v>
      </c>
      <c r="H37" s="91"/>
      <c r="I37" s="91"/>
    </row>
    <row r="38" spans="1:10" x14ac:dyDescent="0.25">
      <c r="A38" s="81" t="s">
        <v>136</v>
      </c>
      <c r="B38" s="108">
        <f>-30%*B30</f>
        <v>-2445795</v>
      </c>
      <c r="C38" s="108"/>
      <c r="D38" s="108"/>
      <c r="E38" s="108"/>
      <c r="F38" s="108"/>
      <c r="G38" s="108"/>
    </row>
    <row r="39" spans="1:10" x14ac:dyDescent="0.25">
      <c r="A39" s="81" t="s">
        <v>137</v>
      </c>
      <c r="B39" s="108">
        <f>SUM(B36:B38)</f>
        <v>-2445795</v>
      </c>
      <c r="C39" s="108">
        <f>C36</f>
        <v>1308940.3181818181</v>
      </c>
      <c r="D39" s="108">
        <f t="shared" ref="D39:F39" si="4">D36</f>
        <v>1026188.9089798259</v>
      </c>
      <c r="E39" s="108">
        <f t="shared" si="4"/>
        <v>867905.37389307166</v>
      </c>
      <c r="F39" s="108">
        <f t="shared" si="4"/>
        <v>849193.63870063995</v>
      </c>
      <c r="G39" s="108">
        <f>G36+G37</f>
        <v>4653396.0149919391</v>
      </c>
      <c r="H39" s="111">
        <f>NPV(B32, C39:G39)+B39</f>
        <v>3713714.3962008329</v>
      </c>
      <c r="I39" s="112">
        <f>IRR(B39:G39)</f>
        <v>0.48160934793804921</v>
      </c>
      <c r="J39" s="113"/>
    </row>
    <row r="40" spans="1:10" x14ac:dyDescent="0.25">
      <c r="B40" s="100"/>
      <c r="H40" s="75"/>
      <c r="I40" s="75"/>
    </row>
    <row r="41" spans="1:10" x14ac:dyDescent="0.25">
      <c r="A41" s="114" t="s">
        <v>138</v>
      </c>
      <c r="B41" s="75"/>
      <c r="H41" s="75"/>
      <c r="I41" s="75"/>
    </row>
    <row r="42" spans="1:10" x14ac:dyDescent="0.25">
      <c r="B42" s="75"/>
      <c r="I42" s="75"/>
    </row>
    <row r="43" spans="1:10" x14ac:dyDescent="0.25">
      <c r="I43" s="75"/>
    </row>
  </sheetData>
  <mergeCells count="1">
    <mergeCell ref="D24:G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ARM</vt:lpstr>
      <vt:lpstr>Recaptured Depreciation</vt:lpstr>
      <vt:lpstr>Cashflow</vt:lpstr>
      <vt:lpstr>Proforma and DCF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</dc:creator>
  <cp:lastModifiedBy>Admin</cp:lastModifiedBy>
  <dcterms:created xsi:type="dcterms:W3CDTF">2017-10-24T05:40:51Z</dcterms:created>
  <dcterms:modified xsi:type="dcterms:W3CDTF">2017-11-30T04:08:53Z</dcterms:modified>
</cp:coreProperties>
</file>